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. évi költségvetés\"/>
    </mc:Choice>
  </mc:AlternateContent>
  <xr:revisionPtr revIDLastSave="0" documentId="13_ncr:1_{BDC1DFF4-996E-4346-A68D-F836E4354135}" xr6:coauthVersionLast="47" xr6:coauthVersionMax="47" xr10:uidLastSave="{00000000-0000-0000-0000-000000000000}"/>
  <bookViews>
    <workbookView xWindow="3810" yWindow="3810" windowWidth="21600" windowHeight="11385" firstSheet="3" activeTab="7" xr2:uid="{00000000-000D-0000-FFFF-FFFF00000000}"/>
  </bookViews>
  <sheets>
    <sheet name="központi támogatások" sheetId="32" r:id="rId1"/>
    <sheet name="segély K48" sheetId="33" r:id="rId2"/>
    <sheet name="támogatások K512" sheetId="37" r:id="rId3"/>
    <sheet name="beruházások" sheetId="35" r:id="rId4"/>
    <sheet name="BÖLCSŐDE" sheetId="1" r:id="rId5"/>
    <sheet name="FALUHÁZ" sheetId="2" r:id="rId6"/>
    <sheet name="ÓVODA" sheetId="3" r:id="rId7"/>
    <sheet name="PMH" sheetId="7" r:id="rId8"/>
    <sheet name="ÖNKORMÁNYZAT" sheetId="5" r:id="rId9"/>
    <sheet name="MINDÖSSZESEN" sheetId="36" r:id="rId10"/>
  </sheets>
  <definedNames>
    <definedName name="_xlnm._FilterDatabase" localSheetId="4" hidden="1">BÖLCSŐDE!$A$1:$X$108</definedName>
    <definedName name="_xlnm._FilterDatabase" localSheetId="5" hidden="1">FALUHÁZ!$A$1:$W$108</definedName>
    <definedName name="_xlnm._FilterDatabase" localSheetId="9" hidden="1">MINDÖSSZESEN!$A$1:$X$110</definedName>
    <definedName name="_xlnm._FilterDatabase" localSheetId="6" hidden="1">ÓVODA!$AP$1:$BE$101</definedName>
    <definedName name="_xlnm._FilterDatabase" localSheetId="8" hidden="1">ÖNKORMÁNYZAT!$A$1:$AQ$108</definedName>
    <definedName name="_xlnm._FilterDatabase" localSheetId="7" hidden="1">PMH!$A$1:$Y$108</definedName>
    <definedName name="csDesignMode">1</definedName>
    <definedName name="_xlnm.Print_Titles" localSheetId="2">'támogatások K512'!$1:$1</definedName>
    <definedName name="_xlnm.Print_Area" localSheetId="3">beruházások!$AH$1:$AJ$178</definedName>
    <definedName name="_xlnm.Print_Area" localSheetId="4">BÖLCSŐDE!$BT:$BT</definedName>
    <definedName name="_xlnm.Print_Area" localSheetId="5">FALUHÁZ!$BT:$BT</definedName>
    <definedName name="_xlnm.Print_Area" localSheetId="0">'központi támogatások'!$AE$3:$AE$35</definedName>
    <definedName name="_xlnm.Print_Area" localSheetId="9">MINDÖSSZESEN!$BO$82:$BQ$92</definedName>
    <definedName name="_xlnm.Print_Area" localSheetId="6">ÓVODA!$BT:$BT</definedName>
    <definedName name="_xlnm.Print_Area" localSheetId="8">ÖNKORMÁNYZAT!$BT$12:$BT$16</definedName>
    <definedName name="_xlnm.Print_Area" localSheetId="7">PMH!$BT:$BT</definedName>
    <definedName name="_xlnm.Print_Area" localSheetId="1">'segély K48'!$A$1:$M$25</definedName>
    <definedName name="_xlnm.Print_Area" localSheetId="2">'támogatások K512'!$A$1:$X$19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28" i="37" l="1"/>
  <c r="BV101" i="5"/>
  <c r="BV104" i="5" s="1"/>
  <c r="BV95" i="36"/>
  <c r="BV8" i="36"/>
  <c r="BV7" i="36"/>
  <c r="BV18" i="36"/>
  <c r="BU18" i="36"/>
  <c r="BT18" i="36"/>
  <c r="BV19" i="36"/>
  <c r="BV17" i="36"/>
  <c r="BV14" i="36"/>
  <c r="BV11" i="36"/>
  <c r="BV10" i="36"/>
  <c r="BV107" i="7"/>
  <c r="BV106" i="7"/>
  <c r="BV105" i="7"/>
  <c r="BV104" i="7"/>
  <c r="BV103" i="7"/>
  <c r="BV108" i="7" s="1"/>
  <c r="BV108" i="3"/>
  <c r="BV107" i="3"/>
  <c r="BV106" i="3"/>
  <c r="BV105" i="3"/>
  <c r="BV104" i="3"/>
  <c r="BV103" i="3"/>
  <c r="BV108" i="2"/>
  <c r="BV107" i="2"/>
  <c r="BV106" i="2"/>
  <c r="BV105" i="2"/>
  <c r="BV104" i="2"/>
  <c r="BV103" i="2"/>
  <c r="BV107" i="1"/>
  <c r="BV106" i="1"/>
  <c r="BV105" i="1"/>
  <c r="BV104" i="1"/>
  <c r="BV103" i="1"/>
  <c r="BU107" i="5"/>
  <c r="BV107" i="5"/>
  <c r="BV103" i="5"/>
  <c r="BV105" i="5"/>
  <c r="AK174" i="35"/>
  <c r="AK173" i="35"/>
  <c r="BV100" i="36"/>
  <c r="BV99" i="36"/>
  <c r="BV98" i="36"/>
  <c r="BV97" i="36"/>
  <c r="BV96" i="36"/>
  <c r="BV94" i="36"/>
  <c r="BV93" i="36"/>
  <c r="BV92" i="36"/>
  <c r="BV91" i="36"/>
  <c r="BV90" i="36"/>
  <c r="BV89" i="36"/>
  <c r="BV88" i="36"/>
  <c r="BV87" i="36"/>
  <c r="BV86" i="36"/>
  <c r="BV85" i="36"/>
  <c r="BV84" i="36"/>
  <c r="BV82" i="36"/>
  <c r="BV81" i="36"/>
  <c r="BV80" i="36"/>
  <c r="BV79" i="36"/>
  <c r="BV78" i="36"/>
  <c r="BV77" i="36"/>
  <c r="BV76" i="36"/>
  <c r="BV75" i="36"/>
  <c r="BV74" i="36"/>
  <c r="BV73" i="36"/>
  <c r="BV72" i="36"/>
  <c r="BV71" i="36"/>
  <c r="BV70" i="36"/>
  <c r="BV69" i="36"/>
  <c r="BV68" i="36"/>
  <c r="BV67" i="36"/>
  <c r="BV66" i="36"/>
  <c r="BV65" i="36"/>
  <c r="BV64" i="36"/>
  <c r="BV63" i="36"/>
  <c r="BV62" i="36"/>
  <c r="BV61" i="36"/>
  <c r="BV60" i="36"/>
  <c r="BV59" i="36"/>
  <c r="BV58" i="36"/>
  <c r="BV57" i="36"/>
  <c r="BV56" i="36"/>
  <c r="BV55" i="36"/>
  <c r="BV54" i="36"/>
  <c r="BV53" i="36"/>
  <c r="BV52" i="36"/>
  <c r="BV51" i="36"/>
  <c r="BV50" i="36"/>
  <c r="BV49" i="36"/>
  <c r="BV48" i="36"/>
  <c r="BV47" i="36"/>
  <c r="BV46" i="36"/>
  <c r="BV45" i="36"/>
  <c r="BV44" i="36"/>
  <c r="BV43" i="36"/>
  <c r="BV42" i="36"/>
  <c r="BV41" i="36"/>
  <c r="BV40" i="36"/>
  <c r="BV39" i="36"/>
  <c r="BV38" i="36"/>
  <c r="BV37" i="36"/>
  <c r="BV36" i="36"/>
  <c r="BV35" i="36"/>
  <c r="BV34" i="36"/>
  <c r="BV33" i="36"/>
  <c r="BV32" i="36"/>
  <c r="BV31" i="36"/>
  <c r="BV30" i="36"/>
  <c r="BV29" i="36"/>
  <c r="BV28" i="36"/>
  <c r="BV27" i="36"/>
  <c r="BV26" i="36"/>
  <c r="BV25" i="36"/>
  <c r="BV24" i="36"/>
  <c r="BV23" i="36"/>
  <c r="BV22" i="36"/>
  <c r="BV21" i="36"/>
  <c r="BV20" i="36"/>
  <c r="BV16" i="36"/>
  <c r="BV15" i="36"/>
  <c r="BV13" i="36"/>
  <c r="BV12" i="36"/>
  <c r="BV9" i="36"/>
  <c r="BV6" i="36"/>
  <c r="BV5" i="36"/>
  <c r="BV4" i="36"/>
  <c r="BV3" i="36"/>
  <c r="BV2" i="36"/>
  <c r="AK77" i="35"/>
  <c r="AK15" i="35"/>
  <c r="AK67" i="35"/>
  <c r="AK48" i="35"/>
  <c r="BU88" i="36"/>
  <c r="BV106" i="5" l="1"/>
  <c r="BV101" i="36"/>
  <c r="BV106" i="36" s="1"/>
  <c r="BV108" i="5"/>
  <c r="BV108" i="1"/>
  <c r="BV107" i="36"/>
  <c r="BV103" i="36"/>
  <c r="BV105" i="36"/>
  <c r="BU104" i="3"/>
  <c r="BU103" i="3"/>
  <c r="X3" i="37"/>
  <c r="X2" i="37"/>
  <c r="AJ173" i="35"/>
  <c r="AJ129" i="35"/>
  <c r="AJ123" i="35"/>
  <c r="AJ120" i="35"/>
  <c r="AJ119" i="35"/>
  <c r="BU94" i="7"/>
  <c r="AJ58" i="35"/>
  <c r="BU92" i="1"/>
  <c r="BU92" i="36" s="1"/>
  <c r="AJ71" i="35"/>
  <c r="AJ77" i="35" s="1"/>
  <c r="BU39" i="3"/>
  <c r="AJ12" i="35"/>
  <c r="BU41" i="2"/>
  <c r="BU69" i="2"/>
  <c r="AJ29" i="35"/>
  <c r="AJ44" i="35"/>
  <c r="AJ43" i="35"/>
  <c r="AJ42" i="35"/>
  <c r="AJ41" i="35"/>
  <c r="AJ40" i="35"/>
  <c r="AJ39" i="35"/>
  <c r="AJ37" i="35"/>
  <c r="BU3" i="36"/>
  <c r="BU4" i="36"/>
  <c r="BU5" i="36"/>
  <c r="BU6" i="36"/>
  <c r="BU7" i="36"/>
  <c r="BU8" i="36"/>
  <c r="BU9" i="36"/>
  <c r="BU10" i="36"/>
  <c r="BU11" i="36"/>
  <c r="BU12" i="36"/>
  <c r="BU13" i="36"/>
  <c r="BU14" i="36"/>
  <c r="BU15" i="36"/>
  <c r="BU16" i="36"/>
  <c r="BU17" i="36"/>
  <c r="BU19" i="36"/>
  <c r="BU20" i="36"/>
  <c r="BU21" i="36"/>
  <c r="BU22" i="36"/>
  <c r="BU23" i="36"/>
  <c r="BU24" i="36"/>
  <c r="BU25" i="36"/>
  <c r="BU26" i="36"/>
  <c r="BU27" i="36"/>
  <c r="BU28" i="36"/>
  <c r="BU29" i="36"/>
  <c r="BU30" i="36"/>
  <c r="BU31" i="36"/>
  <c r="BU32" i="36"/>
  <c r="BU33" i="36"/>
  <c r="BU34" i="36"/>
  <c r="BU35" i="36"/>
  <c r="BU36" i="36"/>
  <c r="BU38" i="36"/>
  <c r="BU39" i="36"/>
  <c r="BU40" i="36"/>
  <c r="BU41" i="36"/>
  <c r="BU42" i="36"/>
  <c r="BU43" i="36"/>
  <c r="BU44" i="36"/>
  <c r="BU45" i="36"/>
  <c r="BU46" i="36"/>
  <c r="BU47" i="36"/>
  <c r="BU48" i="36"/>
  <c r="BU49" i="36"/>
  <c r="BU50" i="36"/>
  <c r="BU51" i="36"/>
  <c r="BU52" i="36"/>
  <c r="BU53" i="36"/>
  <c r="BU54" i="36"/>
  <c r="BU55" i="36"/>
  <c r="BU56" i="36"/>
  <c r="BU57" i="36"/>
  <c r="BU58" i="36"/>
  <c r="BU59" i="36"/>
  <c r="BU60" i="36"/>
  <c r="BU61" i="36"/>
  <c r="BU62" i="36"/>
  <c r="BU63" i="36"/>
  <c r="BU64" i="36"/>
  <c r="BU65" i="36"/>
  <c r="BU66" i="36"/>
  <c r="BU67" i="36"/>
  <c r="BU68" i="36"/>
  <c r="BU69" i="36"/>
  <c r="BU70" i="36"/>
  <c r="BU71" i="36"/>
  <c r="BU72" i="36"/>
  <c r="BU73" i="36"/>
  <c r="BU74" i="36"/>
  <c r="BU75" i="36"/>
  <c r="BU76" i="36"/>
  <c r="BU77" i="36"/>
  <c r="BU78" i="36"/>
  <c r="BU79" i="36"/>
  <c r="BU80" i="36"/>
  <c r="BU81" i="36"/>
  <c r="BU82" i="36"/>
  <c r="BU83" i="36"/>
  <c r="BU84" i="36"/>
  <c r="BU85" i="36"/>
  <c r="BU86" i="36"/>
  <c r="BU87" i="36"/>
  <c r="BU89" i="36"/>
  <c r="BU91" i="36"/>
  <c r="BU93" i="36"/>
  <c r="BU94" i="36"/>
  <c r="BU95" i="36"/>
  <c r="BU96" i="36"/>
  <c r="BU97" i="36"/>
  <c r="BU98" i="36"/>
  <c r="BU99" i="36"/>
  <c r="BU100" i="36"/>
  <c r="AJ35" i="32"/>
  <c r="AJ67" i="35"/>
  <c r="AJ15" i="35"/>
  <c r="BU2" i="36"/>
  <c r="BU107" i="7"/>
  <c r="BU106" i="7"/>
  <c r="BU105" i="7"/>
  <c r="BU104" i="7"/>
  <c r="BU103" i="7"/>
  <c r="BU107" i="3"/>
  <c r="BU106" i="3"/>
  <c r="BU105" i="3"/>
  <c r="BU106" i="2"/>
  <c r="BU107" i="1"/>
  <c r="BU106" i="1"/>
  <c r="BU103" i="1"/>
  <c r="BU105" i="5"/>
  <c r="BU103" i="5"/>
  <c r="BT37" i="2"/>
  <c r="BT22" i="2"/>
  <c r="BV104" i="36" l="1"/>
  <c r="BV108" i="36" s="1"/>
  <c r="AJ174" i="35"/>
  <c r="BU108" i="3"/>
  <c r="BU37" i="36"/>
  <c r="BU103" i="36" s="1"/>
  <c r="BU101" i="5"/>
  <c r="BU106" i="5" s="1"/>
  <c r="BU103" i="2"/>
  <c r="AJ48" i="35"/>
  <c r="BU105" i="36"/>
  <c r="BU105" i="2"/>
  <c r="BU105" i="1"/>
  <c r="BU104" i="1"/>
  <c r="BU108" i="1" s="1"/>
  <c r="BU108" i="7"/>
  <c r="BT57" i="5"/>
  <c r="BT69" i="7"/>
  <c r="BT12" i="5"/>
  <c r="AC29" i="33"/>
  <c r="BT82" i="5" s="1"/>
  <c r="BU104" i="5" l="1"/>
  <c r="BU108" i="5" s="1"/>
  <c r="BU101" i="36"/>
  <c r="BU106" i="36" s="1"/>
  <c r="BT52" i="3"/>
  <c r="BS52" i="3"/>
  <c r="BS104" i="3" s="1"/>
  <c r="BT22" i="5"/>
  <c r="BT103" i="5" s="1"/>
  <c r="AI116" i="35"/>
  <c r="AI115" i="35"/>
  <c r="BM72" i="5"/>
  <c r="BP72" i="5"/>
  <c r="BQ72" i="5" s="1"/>
  <c r="AI12" i="35"/>
  <c r="BT61" i="5"/>
  <c r="BT69" i="36"/>
  <c r="AI189" i="35"/>
  <c r="BT103" i="2"/>
  <c r="BT63" i="2"/>
  <c r="BT61" i="2"/>
  <c r="BT62" i="2"/>
  <c r="BT63" i="1"/>
  <c r="BT62" i="1"/>
  <c r="BT61" i="1"/>
  <c r="BT72" i="1" s="1"/>
  <c r="BT62" i="3"/>
  <c r="BT61" i="3"/>
  <c r="BT62" i="7"/>
  <c r="BT61" i="7"/>
  <c r="BT106" i="7" s="1"/>
  <c r="BT62" i="5"/>
  <c r="BT62" i="36" s="1"/>
  <c r="BT63" i="5"/>
  <c r="AI35" i="32"/>
  <c r="BT39" i="5"/>
  <c r="BT52" i="5" s="1"/>
  <c r="BT105" i="3"/>
  <c r="BT105" i="2"/>
  <c r="BT43" i="7"/>
  <c r="BT52" i="7" s="1"/>
  <c r="BT103" i="7"/>
  <c r="BT2" i="36"/>
  <c r="BT3" i="36"/>
  <c r="BT4" i="36"/>
  <c r="BT5" i="36"/>
  <c r="BT6" i="36"/>
  <c r="BT7" i="36"/>
  <c r="BT8" i="36"/>
  <c r="BT9" i="36"/>
  <c r="BT10" i="36"/>
  <c r="BT11" i="36"/>
  <c r="BT12" i="36"/>
  <c r="BT13" i="36"/>
  <c r="BT14" i="36"/>
  <c r="BT15" i="36"/>
  <c r="BT16" i="36"/>
  <c r="BT17" i="36"/>
  <c r="BT19" i="36"/>
  <c r="BT20" i="36"/>
  <c r="BT24" i="36"/>
  <c r="BT25" i="36"/>
  <c r="BT26" i="36"/>
  <c r="BT27" i="36"/>
  <c r="BT28" i="36"/>
  <c r="BT29" i="36"/>
  <c r="BT30" i="36"/>
  <c r="BT31" i="36"/>
  <c r="BT32" i="36"/>
  <c r="BT33" i="36"/>
  <c r="BT34" i="36"/>
  <c r="BT35" i="36"/>
  <c r="BT36" i="36"/>
  <c r="BT38" i="36"/>
  <c r="BT41" i="36"/>
  <c r="BT44" i="36"/>
  <c r="BT45" i="36"/>
  <c r="BT48" i="36"/>
  <c r="BT56" i="36"/>
  <c r="BT57" i="36"/>
  <c r="BT58" i="36"/>
  <c r="BT59" i="36"/>
  <c r="BT60" i="36"/>
  <c r="BT64" i="36"/>
  <c r="BT65" i="36"/>
  <c r="BT66" i="36"/>
  <c r="BT67" i="36"/>
  <c r="BT68" i="36"/>
  <c r="BT70" i="36"/>
  <c r="BT71" i="36"/>
  <c r="BT73" i="36"/>
  <c r="BT74" i="36"/>
  <c r="BT75" i="36"/>
  <c r="BT76" i="36"/>
  <c r="BT77" i="36"/>
  <c r="BT78" i="36"/>
  <c r="BT79" i="36"/>
  <c r="BT80" i="36"/>
  <c r="BT81" i="36"/>
  <c r="BT82" i="36"/>
  <c r="BT83" i="36"/>
  <c r="BT84" i="36"/>
  <c r="BT85" i="36"/>
  <c r="BT86" i="36"/>
  <c r="BT87" i="36"/>
  <c r="BT88" i="36"/>
  <c r="BT89" i="36"/>
  <c r="BT91" i="36"/>
  <c r="BT92" i="36"/>
  <c r="BT94" i="36"/>
  <c r="BT95" i="36"/>
  <c r="BT96" i="36"/>
  <c r="BT97" i="36"/>
  <c r="BT98" i="36"/>
  <c r="BT99" i="36"/>
  <c r="BT100" i="36"/>
  <c r="BS39" i="5"/>
  <c r="BS52" i="5" s="1"/>
  <c r="BS56" i="36"/>
  <c r="BS57" i="36"/>
  <c r="BS58" i="36"/>
  <c r="BS59" i="36"/>
  <c r="BS60" i="36"/>
  <c r="BS61" i="36"/>
  <c r="BS62" i="36"/>
  <c r="BS63" i="36"/>
  <c r="BS64" i="36"/>
  <c r="BS65" i="36"/>
  <c r="BS66" i="36"/>
  <c r="BS67" i="36"/>
  <c r="BS68" i="36"/>
  <c r="BS69" i="36"/>
  <c r="BS70" i="36"/>
  <c r="BS71" i="36"/>
  <c r="BS72" i="36"/>
  <c r="BS73" i="36"/>
  <c r="BS74" i="36"/>
  <c r="BS75" i="36"/>
  <c r="BS76" i="36"/>
  <c r="BS77" i="36"/>
  <c r="BS78" i="36"/>
  <c r="BS79" i="36"/>
  <c r="BS80" i="36"/>
  <c r="BS81" i="36"/>
  <c r="BS82" i="36"/>
  <c r="BS83" i="36"/>
  <c r="BS84" i="36"/>
  <c r="BS85" i="36"/>
  <c r="BS86" i="36"/>
  <c r="BS87" i="36"/>
  <c r="BS88" i="36"/>
  <c r="BS89" i="36"/>
  <c r="BS90" i="36"/>
  <c r="BS91" i="36"/>
  <c r="BS92" i="36"/>
  <c r="BS93" i="36"/>
  <c r="BS94" i="36"/>
  <c r="BS95" i="36"/>
  <c r="BS96" i="36"/>
  <c r="BS97" i="36"/>
  <c r="BS98" i="36"/>
  <c r="BS99" i="36"/>
  <c r="BS100" i="36"/>
  <c r="BS41" i="36"/>
  <c r="BS44" i="36"/>
  <c r="BS45" i="36"/>
  <c r="BS48" i="36"/>
  <c r="BS9" i="36"/>
  <c r="BS10" i="36"/>
  <c r="BS11" i="36"/>
  <c r="BS12" i="36"/>
  <c r="BS13" i="36"/>
  <c r="BS14" i="36"/>
  <c r="BS15" i="36"/>
  <c r="BS16" i="36"/>
  <c r="BS17" i="36"/>
  <c r="BS18" i="36"/>
  <c r="BS19" i="36"/>
  <c r="BS20" i="36"/>
  <c r="BS24" i="36"/>
  <c r="BS25" i="36"/>
  <c r="BS26" i="36"/>
  <c r="BS27" i="36"/>
  <c r="BS28" i="36"/>
  <c r="BS29" i="36"/>
  <c r="BS30" i="36"/>
  <c r="BS31" i="36"/>
  <c r="BS32" i="36"/>
  <c r="BS33" i="36"/>
  <c r="BS34" i="36"/>
  <c r="BS35" i="36"/>
  <c r="BS36" i="36"/>
  <c r="BS37" i="36"/>
  <c r="BS38" i="36"/>
  <c r="BS2" i="36"/>
  <c r="BS3" i="36"/>
  <c r="BS4" i="36"/>
  <c r="BS5" i="36"/>
  <c r="BS6" i="36"/>
  <c r="BS7" i="36"/>
  <c r="BS8" i="36"/>
  <c r="BS103" i="7"/>
  <c r="BS106" i="7"/>
  <c r="BS107" i="7"/>
  <c r="BS43" i="7"/>
  <c r="BS52" i="7" s="1"/>
  <c r="BS105" i="7" s="1"/>
  <c r="BS105" i="3"/>
  <c r="BS106" i="3"/>
  <c r="BS107" i="3"/>
  <c r="BS103" i="2"/>
  <c r="BS104" i="2"/>
  <c r="BS105" i="2"/>
  <c r="BS106" i="2"/>
  <c r="BS107" i="2"/>
  <c r="BS103" i="1"/>
  <c r="BS106" i="1"/>
  <c r="BS107" i="1"/>
  <c r="BS103" i="5"/>
  <c r="BS107" i="5"/>
  <c r="BS101" i="5"/>
  <c r="BR7" i="36"/>
  <c r="BR8" i="36"/>
  <c r="BR22" i="3"/>
  <c r="BS22" i="3" s="1"/>
  <c r="BS22" i="36" s="1"/>
  <c r="BR21" i="3"/>
  <c r="BS21" i="3" s="1"/>
  <c r="BU90" i="36" l="1"/>
  <c r="BU107" i="2"/>
  <c r="BU104" i="2"/>
  <c r="BU108" i="2" s="1"/>
  <c r="BT72" i="3"/>
  <c r="BT106" i="3" s="1"/>
  <c r="BT39" i="36"/>
  <c r="BT22" i="3"/>
  <c r="BT22" i="36" s="1"/>
  <c r="BS104" i="7"/>
  <c r="BT63" i="36"/>
  <c r="BT72" i="5"/>
  <c r="BT72" i="36" s="1"/>
  <c r="BS108" i="2"/>
  <c r="BS103" i="3"/>
  <c r="BS108" i="3" s="1"/>
  <c r="BS21" i="36"/>
  <c r="BS103" i="36" s="1"/>
  <c r="BT21" i="3"/>
  <c r="BT21" i="36" s="1"/>
  <c r="BS108" i="7"/>
  <c r="BS107" i="36"/>
  <c r="AI173" i="35"/>
  <c r="BT90" i="5" s="1"/>
  <c r="BT106" i="2"/>
  <c r="BT106" i="1"/>
  <c r="BT61" i="36"/>
  <c r="BT105" i="5"/>
  <c r="BT105" i="7"/>
  <c r="BS104" i="5"/>
  <c r="BS108" i="5" s="1"/>
  <c r="BS39" i="36"/>
  <c r="BS105" i="5"/>
  <c r="BS101" i="36"/>
  <c r="BS106" i="36" s="1"/>
  <c r="BS106" i="5"/>
  <c r="BR103" i="3"/>
  <c r="BR104" i="3"/>
  <c r="BR105" i="3"/>
  <c r="BR106" i="3"/>
  <c r="BR107" i="3"/>
  <c r="BR103" i="5"/>
  <c r="BR105" i="5"/>
  <c r="BR107" i="5"/>
  <c r="BR101" i="5"/>
  <c r="BR106" i="5" s="1"/>
  <c r="BU107" i="36" l="1"/>
  <c r="BU104" i="36"/>
  <c r="BU108" i="36" s="1"/>
  <c r="BT103" i="3"/>
  <c r="BT93" i="5"/>
  <c r="BT107" i="5" s="1"/>
  <c r="BR104" i="5"/>
  <c r="BR108" i="5" s="1"/>
  <c r="BR108" i="3"/>
  <c r="BQ22" i="2"/>
  <c r="BR103" i="2"/>
  <c r="BR104" i="2"/>
  <c r="BR105" i="2"/>
  <c r="BR106" i="2"/>
  <c r="BR107" i="2"/>
  <c r="BR108" i="2" l="1"/>
  <c r="BR43" i="7" l="1"/>
  <c r="BR52" i="7" s="1"/>
  <c r="BR103" i="7" l="1"/>
  <c r="BR104" i="7"/>
  <c r="BR105" i="7"/>
  <c r="BR106" i="7"/>
  <c r="BR107" i="7"/>
  <c r="BR2" i="36"/>
  <c r="BR3" i="36"/>
  <c r="BR4" i="36"/>
  <c r="BR5" i="36"/>
  <c r="BR6" i="36"/>
  <c r="BR9" i="36"/>
  <c r="BR10" i="36"/>
  <c r="BR11" i="36"/>
  <c r="BR12" i="36"/>
  <c r="BR13" i="36"/>
  <c r="BR14" i="36"/>
  <c r="BR15" i="36"/>
  <c r="BR16" i="36"/>
  <c r="BR17" i="36"/>
  <c r="BR18" i="36"/>
  <c r="BR19" i="36"/>
  <c r="BR20" i="36"/>
  <c r="BR21" i="36"/>
  <c r="BR22" i="36"/>
  <c r="BR24" i="36"/>
  <c r="BR25" i="36"/>
  <c r="BR26" i="36"/>
  <c r="BR27" i="36"/>
  <c r="BR28" i="36"/>
  <c r="BR29" i="36"/>
  <c r="BR30" i="36"/>
  <c r="BR31" i="36"/>
  <c r="BR32" i="36"/>
  <c r="BR33" i="36"/>
  <c r="BR34" i="36"/>
  <c r="BR35" i="36"/>
  <c r="BR36" i="36"/>
  <c r="BR37" i="36"/>
  <c r="BR38" i="36"/>
  <c r="BR39" i="36"/>
  <c r="BR41" i="36"/>
  <c r="BR44" i="36"/>
  <c r="BR45" i="36"/>
  <c r="BR48" i="36"/>
  <c r="BR56" i="36"/>
  <c r="BR57" i="36"/>
  <c r="BR58" i="36"/>
  <c r="BR59" i="36"/>
  <c r="BR60" i="36"/>
  <c r="BR61" i="36"/>
  <c r="BR62" i="36"/>
  <c r="BR63" i="36"/>
  <c r="BR64" i="36"/>
  <c r="BR65" i="36"/>
  <c r="BR66" i="36"/>
  <c r="BR67" i="36"/>
  <c r="BR68" i="36"/>
  <c r="BR69" i="36"/>
  <c r="BR70" i="36"/>
  <c r="BR71" i="36"/>
  <c r="BR72" i="36"/>
  <c r="BR73" i="36"/>
  <c r="BR74" i="36"/>
  <c r="BR75" i="36"/>
  <c r="BR76" i="36"/>
  <c r="BR77" i="36"/>
  <c r="BR78" i="36"/>
  <c r="BR79" i="36"/>
  <c r="BR80" i="36"/>
  <c r="BR81" i="36"/>
  <c r="BR82" i="36"/>
  <c r="BR83" i="36"/>
  <c r="BR84" i="36"/>
  <c r="BR85" i="36"/>
  <c r="BR86" i="36"/>
  <c r="BR87" i="36"/>
  <c r="BR88" i="36"/>
  <c r="BR89" i="36"/>
  <c r="BR90" i="36"/>
  <c r="BR91" i="36"/>
  <c r="BR92" i="36"/>
  <c r="BR93" i="36"/>
  <c r="BR94" i="36"/>
  <c r="BR95" i="36"/>
  <c r="BR96" i="36"/>
  <c r="BR97" i="36"/>
  <c r="BR98" i="36"/>
  <c r="BR99" i="36"/>
  <c r="BR100" i="36"/>
  <c r="BR101" i="36"/>
  <c r="BR103" i="1"/>
  <c r="BR106" i="1"/>
  <c r="BR107" i="1"/>
  <c r="BR52" i="1"/>
  <c r="BR52" i="36" s="1"/>
  <c r="AI77" i="35"/>
  <c r="BT90" i="1" s="1"/>
  <c r="AI67" i="35"/>
  <c r="BT90" i="7" s="1"/>
  <c r="AI48" i="35"/>
  <c r="BT90" i="2" s="1"/>
  <c r="AI15" i="35"/>
  <c r="AI175" i="35" l="1"/>
  <c r="BT90" i="3"/>
  <c r="BT90" i="36" s="1"/>
  <c r="BT93" i="7"/>
  <c r="BT104" i="7" s="1"/>
  <c r="BT108" i="7" s="1"/>
  <c r="BT93" i="2"/>
  <c r="BT107" i="2" s="1"/>
  <c r="BT93" i="1"/>
  <c r="BT107" i="1" s="1"/>
  <c r="BR103" i="36"/>
  <c r="BR107" i="36"/>
  <c r="BR106" i="36"/>
  <c r="BR108" i="7"/>
  <c r="BP6" i="36"/>
  <c r="BP7" i="36"/>
  <c r="BP8" i="36"/>
  <c r="BP9" i="36"/>
  <c r="BP10" i="36"/>
  <c r="BP11" i="36"/>
  <c r="BP35" i="36"/>
  <c r="BP37" i="36"/>
  <c r="BO3" i="36"/>
  <c r="BO4" i="36"/>
  <c r="BO5" i="36"/>
  <c r="BO6" i="36"/>
  <c r="BO7" i="36"/>
  <c r="BO8" i="36"/>
  <c r="BO9" i="36"/>
  <c r="BO10" i="36"/>
  <c r="BO11" i="36"/>
  <c r="BO12" i="36"/>
  <c r="BO13" i="36"/>
  <c r="BO14" i="36"/>
  <c r="BO15" i="36"/>
  <c r="BO16" i="36"/>
  <c r="BO17" i="36"/>
  <c r="BO18" i="36"/>
  <c r="BO19" i="36"/>
  <c r="BO20" i="36"/>
  <c r="BO21" i="36"/>
  <c r="BO22" i="36"/>
  <c r="BO24" i="36"/>
  <c r="BO25" i="36"/>
  <c r="BO26" i="36"/>
  <c r="BO27" i="36"/>
  <c r="BO28" i="36"/>
  <c r="BO29" i="36"/>
  <c r="BO30" i="36"/>
  <c r="BO31" i="36"/>
  <c r="BO32" i="36"/>
  <c r="BO33" i="36"/>
  <c r="BO34" i="36"/>
  <c r="BO36" i="36"/>
  <c r="BO37" i="36"/>
  <c r="BO38" i="36"/>
  <c r="BO39" i="36"/>
  <c r="BO40" i="36"/>
  <c r="BO41" i="36"/>
  <c r="BO42" i="36"/>
  <c r="BO43" i="36"/>
  <c r="BO44" i="36"/>
  <c r="BO45" i="36"/>
  <c r="BO46" i="36"/>
  <c r="BO47" i="36"/>
  <c r="BO48" i="36"/>
  <c r="BO49" i="36"/>
  <c r="BO50" i="36"/>
  <c r="BO51" i="36"/>
  <c r="BO52" i="36"/>
  <c r="BO53" i="36"/>
  <c r="BO54" i="36"/>
  <c r="BO55" i="36"/>
  <c r="BO56" i="36"/>
  <c r="BO57" i="36"/>
  <c r="BO58" i="36"/>
  <c r="BO59" i="36"/>
  <c r="BO60" i="36"/>
  <c r="BO61" i="36"/>
  <c r="BO62" i="36"/>
  <c r="BO63" i="36"/>
  <c r="BO64" i="36"/>
  <c r="BO65" i="36"/>
  <c r="BO66" i="36"/>
  <c r="BO67" i="36"/>
  <c r="BO68" i="36"/>
  <c r="BO69" i="36"/>
  <c r="BO70" i="36"/>
  <c r="BO71" i="36"/>
  <c r="BO72" i="36"/>
  <c r="BO73" i="36"/>
  <c r="BO74" i="36"/>
  <c r="BO75" i="36"/>
  <c r="BO76" i="36"/>
  <c r="BO77" i="36"/>
  <c r="BO78" i="36"/>
  <c r="BO79" i="36"/>
  <c r="BO80" i="36"/>
  <c r="BO81" i="36"/>
  <c r="BO82" i="36"/>
  <c r="BO83" i="36"/>
  <c r="BO84" i="36"/>
  <c r="BO85" i="36"/>
  <c r="BO86" i="36"/>
  <c r="BO87" i="36"/>
  <c r="BO88" i="36"/>
  <c r="BO89" i="36"/>
  <c r="BO90" i="36"/>
  <c r="BO91" i="36"/>
  <c r="BO92" i="36"/>
  <c r="BO93" i="36"/>
  <c r="BO94" i="36"/>
  <c r="BO95" i="36"/>
  <c r="BO96" i="36"/>
  <c r="BO97" i="36"/>
  <c r="BO98" i="36"/>
  <c r="BO99" i="36"/>
  <c r="BO100" i="36"/>
  <c r="BO2" i="36"/>
  <c r="BN3" i="36"/>
  <c r="BN4" i="36"/>
  <c r="BN5" i="36"/>
  <c r="BN6" i="36"/>
  <c r="BN7" i="36"/>
  <c r="BN8" i="36"/>
  <c r="BN9" i="36"/>
  <c r="BN10" i="36"/>
  <c r="BN11" i="36"/>
  <c r="BN13" i="36"/>
  <c r="BN14" i="36"/>
  <c r="BN15" i="36"/>
  <c r="BN16" i="36"/>
  <c r="BN17" i="36"/>
  <c r="BN18" i="36"/>
  <c r="BN19" i="36"/>
  <c r="BN20" i="36"/>
  <c r="BN21" i="36"/>
  <c r="BN24" i="36"/>
  <c r="BN29" i="36"/>
  <c r="BN30" i="36"/>
  <c r="BN33" i="36"/>
  <c r="BN34" i="36"/>
  <c r="BN36" i="36"/>
  <c r="BN37" i="36"/>
  <c r="BN38" i="36"/>
  <c r="BN40" i="36"/>
  <c r="BN41" i="36"/>
  <c r="BN43" i="36"/>
  <c r="BN44" i="36"/>
  <c r="BN46" i="36"/>
  <c r="BN48" i="36"/>
  <c r="BN50" i="36"/>
  <c r="BN51" i="36"/>
  <c r="BN54" i="36"/>
  <c r="BN55" i="36"/>
  <c r="BN56" i="36"/>
  <c r="BN57" i="36"/>
  <c r="BN58" i="36"/>
  <c r="BN59" i="36"/>
  <c r="BN61" i="36"/>
  <c r="BN62" i="36"/>
  <c r="BN63" i="36"/>
  <c r="BN64" i="36"/>
  <c r="BN65" i="36"/>
  <c r="BN66" i="36"/>
  <c r="BN67" i="36"/>
  <c r="BN68" i="36"/>
  <c r="BN69" i="36"/>
  <c r="BN70" i="36"/>
  <c r="BN71" i="36"/>
  <c r="BN73" i="36"/>
  <c r="BN75" i="36"/>
  <c r="BN76" i="36"/>
  <c r="BN77" i="36"/>
  <c r="BN78" i="36"/>
  <c r="BN79" i="36"/>
  <c r="BN80" i="36"/>
  <c r="BN81" i="36"/>
  <c r="BN82" i="36"/>
  <c r="BN83" i="36"/>
  <c r="BN84" i="36"/>
  <c r="BN85" i="36"/>
  <c r="BN86" i="36"/>
  <c r="BN87" i="36"/>
  <c r="BN88" i="36"/>
  <c r="BN89" i="36"/>
  <c r="BN91" i="36"/>
  <c r="BN92" i="36"/>
  <c r="BN94" i="36"/>
  <c r="BN95" i="36"/>
  <c r="BN96" i="36"/>
  <c r="BN97" i="36"/>
  <c r="BN98" i="36"/>
  <c r="BN99" i="36"/>
  <c r="BN100" i="36"/>
  <c r="BN2" i="36"/>
  <c r="BQ7" i="36"/>
  <c r="BQ8" i="36"/>
  <c r="BQ9" i="36"/>
  <c r="BQ10" i="36"/>
  <c r="BQ11" i="36"/>
  <c r="BQ14" i="36"/>
  <c r="BQ17" i="36"/>
  <c r="BQ19" i="36"/>
  <c r="BQ20" i="36"/>
  <c r="BQ21" i="36"/>
  <c r="BQ22" i="36"/>
  <c r="BQ35" i="36"/>
  <c r="BQ37" i="36"/>
  <c r="BQ38" i="36"/>
  <c r="BN101" i="5"/>
  <c r="BN101" i="36" s="1"/>
  <c r="BO101" i="5"/>
  <c r="BO101" i="36" s="1"/>
  <c r="BP101" i="5"/>
  <c r="BQ97" i="7"/>
  <c r="BQ84" i="2"/>
  <c r="BQ85" i="2"/>
  <c r="BQ86" i="2"/>
  <c r="BQ87" i="2"/>
  <c r="BQ88" i="2"/>
  <c r="BQ89" i="2"/>
  <c r="BQ95" i="2"/>
  <c r="BQ96" i="2"/>
  <c r="BQ97" i="2"/>
  <c r="BQ98" i="2"/>
  <c r="BQ99" i="2"/>
  <c r="BQ100" i="2"/>
  <c r="BQ101" i="2"/>
  <c r="BQ66" i="1"/>
  <c r="BQ67" i="1"/>
  <c r="BQ68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6" i="5"/>
  <c r="BQ6" i="36" s="1"/>
  <c r="BQ101" i="5"/>
  <c r="BO105" i="5"/>
  <c r="BO107" i="5"/>
  <c r="BO35" i="5"/>
  <c r="BO103" i="5" s="1"/>
  <c r="BQ103" i="2"/>
  <c r="BP107" i="2"/>
  <c r="BO35" i="2"/>
  <c r="BO35" i="1"/>
  <c r="BN93" i="1"/>
  <c r="BN72" i="1"/>
  <c r="BO35" i="36" l="1"/>
  <c r="BT104" i="2"/>
  <c r="BT108" i="2" s="1"/>
  <c r="BT107" i="7"/>
  <c r="BQ107" i="2"/>
  <c r="BT93" i="3"/>
  <c r="BT107" i="3" s="1"/>
  <c r="BT104" i="3"/>
  <c r="BT108" i="3" s="1"/>
  <c r="BT93" i="36" l="1"/>
  <c r="BT107" i="36" s="1"/>
  <c r="BQ103" i="1"/>
  <c r="BP22" i="1"/>
  <c r="BP21" i="1"/>
  <c r="BP103" i="1" s="1"/>
  <c r="BP22" i="2"/>
  <c r="BP18" i="2"/>
  <c r="BN105" i="2"/>
  <c r="BN22" i="2"/>
  <c r="BN103" i="2" s="1"/>
  <c r="BP57" i="2"/>
  <c r="BQ57" i="2" s="1"/>
  <c r="BP58" i="2"/>
  <c r="BQ58" i="2" s="1"/>
  <c r="BP59" i="2"/>
  <c r="BQ59" i="2" s="1"/>
  <c r="BP60" i="2"/>
  <c r="BQ60" i="2" s="1"/>
  <c r="BP61" i="2"/>
  <c r="BQ61" i="2" s="1"/>
  <c r="BP62" i="2"/>
  <c r="BQ62" i="2" s="1"/>
  <c r="BP63" i="2"/>
  <c r="BQ63" i="2" s="1"/>
  <c r="BP64" i="2"/>
  <c r="BQ64" i="2" s="1"/>
  <c r="BP65" i="2"/>
  <c r="BQ65" i="2" s="1"/>
  <c r="BP66" i="2"/>
  <c r="BP67" i="2"/>
  <c r="BP68" i="2"/>
  <c r="BP69" i="2"/>
  <c r="BQ69" i="2" s="1"/>
  <c r="BP70" i="2"/>
  <c r="BQ70" i="2" s="1"/>
  <c r="BP71" i="2"/>
  <c r="BQ71" i="2" s="1"/>
  <c r="BP72" i="2"/>
  <c r="BQ72" i="2" s="1"/>
  <c r="BP73" i="2"/>
  <c r="BQ73" i="2" s="1"/>
  <c r="BP74" i="2"/>
  <c r="BQ74" i="2" s="1"/>
  <c r="BP75" i="2"/>
  <c r="BQ75" i="2" s="1"/>
  <c r="BP76" i="2"/>
  <c r="BQ76" i="2" s="1"/>
  <c r="BP77" i="2"/>
  <c r="BP78" i="2"/>
  <c r="BP79" i="2"/>
  <c r="BP80" i="2"/>
  <c r="BP81" i="2"/>
  <c r="BP82" i="2"/>
  <c r="BP83" i="2"/>
  <c r="BP56" i="2"/>
  <c r="BN90" i="2"/>
  <c r="BN90" i="36" s="1"/>
  <c r="BN93" i="2"/>
  <c r="BN60" i="2"/>
  <c r="BN60" i="36" s="1"/>
  <c r="BP39" i="2"/>
  <c r="BP40" i="2"/>
  <c r="BQ40" i="2" s="1"/>
  <c r="BP41" i="2"/>
  <c r="BQ41" i="2" s="1"/>
  <c r="BP42" i="2"/>
  <c r="BQ42" i="2" s="1"/>
  <c r="BP43" i="2"/>
  <c r="BQ43" i="2" s="1"/>
  <c r="BP44" i="2"/>
  <c r="BQ44" i="2" s="1"/>
  <c r="BP45" i="2"/>
  <c r="BQ45" i="2" s="1"/>
  <c r="BP46" i="2"/>
  <c r="BQ46" i="2" s="1"/>
  <c r="BP47" i="2"/>
  <c r="BQ47" i="2" s="1"/>
  <c r="BP48" i="2"/>
  <c r="BQ48" i="2" s="1"/>
  <c r="BP49" i="2"/>
  <c r="BQ49" i="2" s="1"/>
  <c r="BP50" i="2"/>
  <c r="BQ50" i="2" s="1"/>
  <c r="BP51" i="2"/>
  <c r="BQ51" i="2" s="1"/>
  <c r="BP52" i="2"/>
  <c r="BQ52" i="2" s="1"/>
  <c r="BN22" i="1"/>
  <c r="BP39" i="1"/>
  <c r="BP107" i="1"/>
  <c r="BQ107" i="1"/>
  <c r="BO103" i="1"/>
  <c r="BO104" i="1"/>
  <c r="BO105" i="1"/>
  <c r="BO106" i="1"/>
  <c r="BO107" i="1"/>
  <c r="BN104" i="1"/>
  <c r="BN105" i="1"/>
  <c r="BN106" i="1"/>
  <c r="BN107" i="1"/>
  <c r="BP40" i="1"/>
  <c r="BP41" i="1"/>
  <c r="BP42" i="1"/>
  <c r="BP43" i="1"/>
  <c r="BP44" i="1"/>
  <c r="BP45" i="1"/>
  <c r="BQ45" i="1" s="1"/>
  <c r="BP46" i="1"/>
  <c r="BQ46" i="1" s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9" i="1"/>
  <c r="BP70" i="1"/>
  <c r="BP71" i="1"/>
  <c r="BP72" i="1"/>
  <c r="BP73" i="1"/>
  <c r="BP74" i="1"/>
  <c r="BP75" i="1"/>
  <c r="BP76" i="1"/>
  <c r="BQ36" i="3"/>
  <c r="BQ36" i="36" s="1"/>
  <c r="BP19" i="3"/>
  <c r="BP20" i="3"/>
  <c r="BP21" i="3"/>
  <c r="BP22" i="3"/>
  <c r="BP24" i="3"/>
  <c r="BP25" i="3"/>
  <c r="BP26" i="3"/>
  <c r="BP27" i="3"/>
  <c r="BP27" i="36" s="1"/>
  <c r="BP28" i="3"/>
  <c r="BP29" i="3"/>
  <c r="BP30" i="3"/>
  <c r="BP31" i="3"/>
  <c r="BQ31" i="3" s="1"/>
  <c r="BQ31" i="36" s="1"/>
  <c r="BP32" i="3"/>
  <c r="BP33" i="3"/>
  <c r="BP34" i="3"/>
  <c r="BP34" i="36" s="1"/>
  <c r="BP18" i="3"/>
  <c r="BN107" i="2" l="1"/>
  <c r="BR46" i="1"/>
  <c r="BQ28" i="3"/>
  <c r="BQ28" i="36" s="1"/>
  <c r="BQ73" i="1"/>
  <c r="BQ62" i="1"/>
  <c r="BQ54" i="1"/>
  <c r="BQ68" i="2"/>
  <c r="BQ76" i="1"/>
  <c r="BQ65" i="1"/>
  <c r="BQ57" i="1"/>
  <c r="BP105" i="1"/>
  <c r="BP104" i="2"/>
  <c r="BP105" i="2"/>
  <c r="BN72" i="2"/>
  <c r="BQ83" i="2"/>
  <c r="BQ34" i="3"/>
  <c r="BQ34" i="36" s="1"/>
  <c r="BQ30" i="3"/>
  <c r="BQ30" i="36" s="1"/>
  <c r="BQ26" i="3"/>
  <c r="BQ26" i="36" s="1"/>
  <c r="BQ75" i="1"/>
  <c r="BQ71" i="1"/>
  <c r="BQ64" i="1"/>
  <c r="BQ60" i="1"/>
  <c r="BQ56" i="1"/>
  <c r="BQ39" i="1"/>
  <c r="BQ52" i="1"/>
  <c r="BQ48" i="1"/>
  <c r="BQ44" i="1"/>
  <c r="BQ40" i="1"/>
  <c r="BQ39" i="2"/>
  <c r="BN104" i="2"/>
  <c r="BQ82" i="2"/>
  <c r="BQ78" i="2"/>
  <c r="BQ66" i="2"/>
  <c r="BP103" i="2"/>
  <c r="BQ32" i="3"/>
  <c r="BQ32" i="36" s="1"/>
  <c r="BQ24" i="3"/>
  <c r="BQ24" i="36" s="1"/>
  <c r="BQ69" i="1"/>
  <c r="BQ58" i="1"/>
  <c r="BQ50" i="1"/>
  <c r="BQ42" i="1"/>
  <c r="BQ56" i="2"/>
  <c r="BP106" i="2"/>
  <c r="BQ80" i="2"/>
  <c r="BQ27" i="3"/>
  <c r="BQ27" i="36" s="1"/>
  <c r="BQ72" i="1"/>
  <c r="BQ61" i="1"/>
  <c r="BQ53" i="1"/>
  <c r="BQ49" i="1"/>
  <c r="BQ41" i="1"/>
  <c r="BN106" i="2"/>
  <c r="BQ79" i="2"/>
  <c r="BQ67" i="2"/>
  <c r="BQ33" i="3"/>
  <c r="BQ33" i="36" s="1"/>
  <c r="BQ29" i="3"/>
  <c r="BQ29" i="36" s="1"/>
  <c r="BQ25" i="3"/>
  <c r="BQ25" i="36" s="1"/>
  <c r="BQ74" i="1"/>
  <c r="BQ70" i="1"/>
  <c r="BQ63" i="1"/>
  <c r="BQ59" i="1"/>
  <c r="BP106" i="1"/>
  <c r="BQ55" i="1"/>
  <c r="BQ51" i="1"/>
  <c r="BQ47" i="1"/>
  <c r="BQ43" i="1"/>
  <c r="BN103" i="1"/>
  <c r="BN108" i="1" s="1"/>
  <c r="BQ81" i="2"/>
  <c r="BQ77" i="2"/>
  <c r="BO108" i="1"/>
  <c r="BP104" i="1"/>
  <c r="BP108" i="1" s="1"/>
  <c r="BP57" i="3"/>
  <c r="BQ57" i="3" s="1"/>
  <c r="BP58" i="3"/>
  <c r="BQ58" i="3" s="1"/>
  <c r="BP59" i="3"/>
  <c r="BQ59" i="3" s="1"/>
  <c r="BP60" i="3"/>
  <c r="BQ60" i="3" s="1"/>
  <c r="BP61" i="3"/>
  <c r="BQ61" i="3" s="1"/>
  <c r="BP62" i="3"/>
  <c r="BQ62" i="3" s="1"/>
  <c r="BP63" i="3"/>
  <c r="BQ63" i="3" s="1"/>
  <c r="BP64" i="3"/>
  <c r="BQ64" i="3" s="1"/>
  <c r="BP65" i="3"/>
  <c r="BQ65" i="3" s="1"/>
  <c r="BP66" i="3"/>
  <c r="BQ66" i="3" s="1"/>
  <c r="BP67" i="3"/>
  <c r="BQ67" i="3" s="1"/>
  <c r="BP68" i="3"/>
  <c r="BQ68" i="3" s="1"/>
  <c r="BP69" i="3"/>
  <c r="BQ69" i="3" s="1"/>
  <c r="BP70" i="3"/>
  <c r="BQ70" i="3" s="1"/>
  <c r="BP71" i="3"/>
  <c r="BQ71" i="3" s="1"/>
  <c r="BP73" i="3"/>
  <c r="BQ73" i="3" s="1"/>
  <c r="BP74" i="3"/>
  <c r="BQ74" i="3" s="1"/>
  <c r="BP75" i="3"/>
  <c r="BQ75" i="3" s="1"/>
  <c r="BP76" i="3"/>
  <c r="BQ76" i="3" s="1"/>
  <c r="BP77" i="3"/>
  <c r="BQ77" i="3" s="1"/>
  <c r="BP78" i="3"/>
  <c r="BQ78" i="3" s="1"/>
  <c r="BP79" i="3"/>
  <c r="BQ79" i="3" s="1"/>
  <c r="BP80" i="3"/>
  <c r="BQ80" i="3" s="1"/>
  <c r="BP81" i="3"/>
  <c r="BQ81" i="3" s="1"/>
  <c r="BP82" i="3"/>
  <c r="BQ82" i="3" s="1"/>
  <c r="BP83" i="3"/>
  <c r="BQ83" i="3" s="1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98" i="3"/>
  <c r="BP99" i="3"/>
  <c r="BP100" i="3"/>
  <c r="BP101" i="3"/>
  <c r="BP56" i="3"/>
  <c r="BP39" i="3"/>
  <c r="BQ39" i="3" s="1"/>
  <c r="BP40" i="3"/>
  <c r="BQ40" i="3" s="1"/>
  <c r="BP41" i="3"/>
  <c r="BQ41" i="3" s="1"/>
  <c r="BP42" i="3"/>
  <c r="BQ42" i="3" s="1"/>
  <c r="BP43" i="3"/>
  <c r="BQ43" i="3" s="1"/>
  <c r="BP44" i="3"/>
  <c r="BQ44" i="3" s="1"/>
  <c r="BP45" i="3"/>
  <c r="BQ45" i="3" s="1"/>
  <c r="BP46" i="3"/>
  <c r="BP47" i="3"/>
  <c r="BQ47" i="3" s="1"/>
  <c r="BP48" i="3"/>
  <c r="BQ48" i="3" s="1"/>
  <c r="BP49" i="3"/>
  <c r="BQ49" i="3" s="1"/>
  <c r="BP50" i="3"/>
  <c r="BP51" i="3"/>
  <c r="BQ51" i="3" s="1"/>
  <c r="BP52" i="3"/>
  <c r="BQ52" i="3" s="1"/>
  <c r="BP53" i="3"/>
  <c r="BQ53" i="3" s="1"/>
  <c r="BP54" i="3"/>
  <c r="BQ54" i="3" s="1"/>
  <c r="BP55" i="3"/>
  <c r="BQ55" i="3" s="1"/>
  <c r="BP39" i="5"/>
  <c r="BP40" i="5"/>
  <c r="BP41" i="5"/>
  <c r="BP42" i="5"/>
  <c r="BP43" i="5"/>
  <c r="BP44" i="5"/>
  <c r="BP45" i="5"/>
  <c r="BP46" i="5"/>
  <c r="BP47" i="5"/>
  <c r="BP48" i="5"/>
  <c r="BP49" i="5"/>
  <c r="BP50" i="5"/>
  <c r="BP51" i="5"/>
  <c r="BP52" i="5"/>
  <c r="BP55" i="5"/>
  <c r="BP108" i="2" l="1"/>
  <c r="BQ99" i="3"/>
  <c r="BQ91" i="3"/>
  <c r="BQ87" i="3"/>
  <c r="BR53" i="1"/>
  <c r="BQ106" i="2"/>
  <c r="BR40" i="1"/>
  <c r="BQ56" i="3"/>
  <c r="BP72" i="3"/>
  <c r="BQ94" i="3"/>
  <c r="BQ104" i="1"/>
  <c r="BQ108" i="1" s="1"/>
  <c r="BR43" i="1"/>
  <c r="BR42" i="1"/>
  <c r="BQ83" i="36"/>
  <c r="BQ50" i="3"/>
  <c r="BQ46" i="3"/>
  <c r="BQ101" i="3"/>
  <c r="BQ97" i="3"/>
  <c r="BQ97" i="36" s="1"/>
  <c r="BQ93" i="3"/>
  <c r="BQ89" i="3"/>
  <c r="BQ85" i="3"/>
  <c r="BR47" i="1"/>
  <c r="BR50" i="1"/>
  <c r="BQ106" i="1"/>
  <c r="BS46" i="1"/>
  <c r="BR46" i="36"/>
  <c r="BQ95" i="3"/>
  <c r="BR55" i="1"/>
  <c r="BQ98" i="3"/>
  <c r="BQ90" i="3"/>
  <c r="BQ86" i="3"/>
  <c r="BQ100" i="3"/>
  <c r="BQ96" i="3"/>
  <c r="BQ92" i="3"/>
  <c r="BQ88" i="3"/>
  <c r="BQ84" i="3"/>
  <c r="BQ105" i="1"/>
  <c r="BR51" i="1"/>
  <c r="BR49" i="1"/>
  <c r="BQ105" i="2"/>
  <c r="BQ104" i="2"/>
  <c r="BQ108" i="2" s="1"/>
  <c r="BR54" i="1"/>
  <c r="BP39" i="7"/>
  <c r="BP39" i="36" s="1"/>
  <c r="BP40" i="7"/>
  <c r="BP40" i="36" s="1"/>
  <c r="BP41" i="7"/>
  <c r="BP41" i="36" s="1"/>
  <c r="BP42" i="7"/>
  <c r="BP42" i="36" s="1"/>
  <c r="BP43" i="7"/>
  <c r="BP43" i="36" s="1"/>
  <c r="BP44" i="7"/>
  <c r="BP44" i="36" s="1"/>
  <c r="BP45" i="7"/>
  <c r="BP45" i="36" s="1"/>
  <c r="BP46" i="7"/>
  <c r="BQ46" i="7" s="1"/>
  <c r="BP47" i="7"/>
  <c r="BP47" i="36" s="1"/>
  <c r="BP48" i="7"/>
  <c r="BP48" i="36" s="1"/>
  <c r="BP49" i="7"/>
  <c r="BQ49" i="7" s="1"/>
  <c r="BP50" i="7"/>
  <c r="BP50" i="36" s="1"/>
  <c r="BP51" i="7"/>
  <c r="BP51" i="36" s="1"/>
  <c r="BP52" i="7"/>
  <c r="BP52" i="36" s="1"/>
  <c r="BP53" i="7"/>
  <c r="BP53" i="36" s="1"/>
  <c r="BP54" i="7"/>
  <c r="BP54" i="36" s="1"/>
  <c r="BP55" i="7"/>
  <c r="BP55" i="36" s="1"/>
  <c r="BQ47" i="7" l="1"/>
  <c r="BQ39" i="7"/>
  <c r="BQ40" i="7"/>
  <c r="BQ55" i="7"/>
  <c r="BQ55" i="36" s="1"/>
  <c r="BQ48" i="7"/>
  <c r="BQ52" i="7"/>
  <c r="BQ44" i="7"/>
  <c r="BQ51" i="7"/>
  <c r="BQ43" i="7"/>
  <c r="BS49" i="1"/>
  <c r="BR49" i="36"/>
  <c r="BS50" i="1"/>
  <c r="BR50" i="36"/>
  <c r="BS47" i="1"/>
  <c r="BR47" i="36"/>
  <c r="BP49" i="36"/>
  <c r="BP46" i="36"/>
  <c r="BQ54" i="7"/>
  <c r="BQ54" i="36" s="1"/>
  <c r="BQ50" i="7"/>
  <c r="BQ42" i="7"/>
  <c r="BS51" i="1"/>
  <c r="BR51" i="36"/>
  <c r="BS55" i="1"/>
  <c r="BR55" i="36"/>
  <c r="BS53" i="1"/>
  <c r="BR53" i="36"/>
  <c r="BS42" i="1"/>
  <c r="BR42" i="36"/>
  <c r="BS40" i="1"/>
  <c r="BR40" i="36"/>
  <c r="BR105" i="1"/>
  <c r="BR104" i="1"/>
  <c r="BR108" i="1" s="1"/>
  <c r="BQ53" i="7"/>
  <c r="BQ53" i="36" s="1"/>
  <c r="BQ45" i="7"/>
  <c r="BQ41" i="7"/>
  <c r="BS54" i="1"/>
  <c r="BR54" i="36"/>
  <c r="BS46" i="36"/>
  <c r="BT46" i="1"/>
  <c r="BS43" i="1"/>
  <c r="BR43" i="36"/>
  <c r="BQ72" i="3"/>
  <c r="BQ104" i="3" s="1"/>
  <c r="BQ103" i="3"/>
  <c r="BQ105" i="3"/>
  <c r="BQ107" i="3"/>
  <c r="BP103" i="3"/>
  <c r="BP106" i="3"/>
  <c r="BP107" i="3"/>
  <c r="BN104" i="3"/>
  <c r="BN105" i="3"/>
  <c r="BN106" i="3"/>
  <c r="BN107" i="3"/>
  <c r="BN22" i="3"/>
  <c r="BN22" i="36" s="1"/>
  <c r="BM62" i="36"/>
  <c r="BM63" i="36"/>
  <c r="BL61" i="3"/>
  <c r="BH61" i="3"/>
  <c r="BG61" i="3"/>
  <c r="AY61" i="3"/>
  <c r="AZ61" i="3" s="1"/>
  <c r="BA61" i="3" s="1"/>
  <c r="AU61" i="3"/>
  <c r="AV61" i="3" s="1"/>
  <c r="AS61" i="3"/>
  <c r="AR61" i="3"/>
  <c r="AH61" i="3"/>
  <c r="AI61" i="3" s="1"/>
  <c r="AK61" i="3" s="1"/>
  <c r="W61" i="3"/>
  <c r="AA61" i="3" s="1"/>
  <c r="AE61" i="3" s="1"/>
  <c r="V61" i="3"/>
  <c r="X61" i="3" s="1"/>
  <c r="R61" i="3"/>
  <c r="I61" i="3"/>
  <c r="M61" i="3" s="1"/>
  <c r="BQ106" i="3" l="1"/>
  <c r="BN103" i="3"/>
  <c r="BN108" i="3" s="1"/>
  <c r="BS54" i="36"/>
  <c r="BT54" i="1"/>
  <c r="BT54" i="36" s="1"/>
  <c r="BT40" i="1"/>
  <c r="BS52" i="1"/>
  <c r="BS104" i="1" s="1"/>
  <c r="BS108" i="1" s="1"/>
  <c r="BS40" i="36"/>
  <c r="BT51" i="1"/>
  <c r="BT51" i="36" s="1"/>
  <c r="BS51" i="36"/>
  <c r="BT43" i="1"/>
  <c r="BT43" i="36" s="1"/>
  <c r="BS43" i="36"/>
  <c r="BT53" i="1"/>
  <c r="BT53" i="36" s="1"/>
  <c r="BS53" i="36"/>
  <c r="BT50" i="1"/>
  <c r="BT50" i="36" s="1"/>
  <c r="BS50" i="36"/>
  <c r="BT46" i="36"/>
  <c r="BT55" i="1"/>
  <c r="BT55" i="36" s="1"/>
  <c r="BS55" i="36"/>
  <c r="BS49" i="36"/>
  <c r="BT49" i="1"/>
  <c r="BT49" i="36" s="1"/>
  <c r="BR104" i="36"/>
  <c r="BR108" i="36" s="1"/>
  <c r="BR105" i="36"/>
  <c r="BS42" i="36"/>
  <c r="BT42" i="1"/>
  <c r="BT42" i="36" s="1"/>
  <c r="BT47" i="1"/>
  <c r="BT47" i="36" s="1"/>
  <c r="BS47" i="36"/>
  <c r="BQ108" i="3"/>
  <c r="BP104" i="3"/>
  <c r="BP108" i="3" s="1"/>
  <c r="BP105" i="3"/>
  <c r="Z61" i="3"/>
  <c r="BT40" i="36" l="1"/>
  <c r="BT52" i="1"/>
  <c r="BT52" i="36" s="1"/>
  <c r="BS105" i="1"/>
  <c r="BS52" i="36"/>
  <c r="BS105" i="36" s="1"/>
  <c r="BM101" i="5"/>
  <c r="BQ40" i="5"/>
  <c r="BQ40" i="36" s="1"/>
  <c r="BQ41" i="5"/>
  <c r="BQ41" i="36" s="1"/>
  <c r="BQ42" i="5"/>
  <c r="BQ42" i="36" s="1"/>
  <c r="BQ43" i="5"/>
  <c r="BQ43" i="36" s="1"/>
  <c r="BQ44" i="5"/>
  <c r="BQ44" i="36" s="1"/>
  <c r="BQ45" i="5"/>
  <c r="BQ45" i="36" s="1"/>
  <c r="BQ46" i="5"/>
  <c r="BQ46" i="36" s="1"/>
  <c r="BQ47" i="5"/>
  <c r="BQ47" i="36" s="1"/>
  <c r="BQ48" i="5"/>
  <c r="BQ48" i="36" s="1"/>
  <c r="BQ49" i="5"/>
  <c r="BQ49" i="36" s="1"/>
  <c r="BQ50" i="5"/>
  <c r="BQ50" i="36" s="1"/>
  <c r="BQ51" i="5"/>
  <c r="BQ51" i="36" s="1"/>
  <c r="BQ52" i="5"/>
  <c r="BQ52" i="36" s="1"/>
  <c r="BQ39" i="5"/>
  <c r="BQ39" i="36" s="1"/>
  <c r="BQ16" i="5"/>
  <c r="BQ16" i="36" s="1"/>
  <c r="BQ13" i="5"/>
  <c r="BQ13" i="36" s="1"/>
  <c r="BP57" i="5"/>
  <c r="BQ57" i="5" s="1"/>
  <c r="BP58" i="5"/>
  <c r="BQ58" i="5" s="1"/>
  <c r="BP59" i="5"/>
  <c r="BQ59" i="5" s="1"/>
  <c r="BP60" i="5"/>
  <c r="BQ60" i="5" s="1"/>
  <c r="BP61" i="5"/>
  <c r="BQ61" i="5" s="1"/>
  <c r="BP62" i="5"/>
  <c r="BQ62" i="5" s="1"/>
  <c r="BP63" i="5"/>
  <c r="BQ63" i="5" s="1"/>
  <c r="BP64" i="5"/>
  <c r="BQ64" i="5" s="1"/>
  <c r="BP65" i="5"/>
  <c r="BQ65" i="5" s="1"/>
  <c r="BP66" i="5"/>
  <c r="BQ66" i="5" s="1"/>
  <c r="BP67" i="5"/>
  <c r="BQ67" i="5" s="1"/>
  <c r="BP68" i="5"/>
  <c r="BQ68" i="5" s="1"/>
  <c r="BP69" i="5"/>
  <c r="BQ69" i="5" s="1"/>
  <c r="BP70" i="5"/>
  <c r="BQ70" i="5" s="1"/>
  <c r="BP71" i="5"/>
  <c r="BQ71" i="5" s="1"/>
  <c r="BP73" i="5"/>
  <c r="BQ73" i="5" s="1"/>
  <c r="BP74" i="5"/>
  <c r="BQ74" i="5" s="1"/>
  <c r="BP75" i="5"/>
  <c r="BQ75" i="5" s="1"/>
  <c r="BP76" i="5"/>
  <c r="BQ76" i="5" s="1"/>
  <c r="BP77" i="5"/>
  <c r="BQ77" i="5" s="1"/>
  <c r="BP78" i="5"/>
  <c r="BQ78" i="5" s="1"/>
  <c r="BP79" i="5"/>
  <c r="BQ79" i="5" s="1"/>
  <c r="BP80" i="5"/>
  <c r="BQ80" i="5" s="1"/>
  <c r="BP81" i="5"/>
  <c r="BQ81" i="5" s="1"/>
  <c r="BP82" i="5"/>
  <c r="BQ82" i="5" s="1"/>
  <c r="BP83" i="5"/>
  <c r="BP84" i="5"/>
  <c r="BQ84" i="5" s="1"/>
  <c r="BP85" i="5"/>
  <c r="BQ85" i="5" s="1"/>
  <c r="BP86" i="5"/>
  <c r="BQ86" i="5" s="1"/>
  <c r="BP87" i="5"/>
  <c r="BP88" i="5"/>
  <c r="BQ88" i="5" s="1"/>
  <c r="BP89" i="5"/>
  <c r="BP90" i="5"/>
  <c r="BP91" i="5"/>
  <c r="BP92" i="5"/>
  <c r="BP93" i="5"/>
  <c r="BP94" i="5"/>
  <c r="BP95" i="5"/>
  <c r="BP96" i="5"/>
  <c r="BP97" i="5"/>
  <c r="BP97" i="36" s="1"/>
  <c r="BP98" i="5"/>
  <c r="BP56" i="5"/>
  <c r="BQ56" i="5" s="1"/>
  <c r="BP17" i="5"/>
  <c r="BP17" i="36" s="1"/>
  <c r="BP18" i="5"/>
  <c r="BQ18" i="5" s="1"/>
  <c r="BP19" i="5"/>
  <c r="BP19" i="36" s="1"/>
  <c r="BP20" i="5"/>
  <c r="BP20" i="36" s="1"/>
  <c r="BP21" i="5"/>
  <c r="BP21" i="36" s="1"/>
  <c r="BP22" i="5"/>
  <c r="BP22" i="36" s="1"/>
  <c r="BP24" i="5"/>
  <c r="BP24" i="36" s="1"/>
  <c r="BP25" i="5"/>
  <c r="BP25" i="36" s="1"/>
  <c r="BP26" i="5"/>
  <c r="BP26" i="36" s="1"/>
  <c r="BP28" i="5"/>
  <c r="BP28" i="36" s="1"/>
  <c r="BP29" i="5"/>
  <c r="BP29" i="36" s="1"/>
  <c r="BP30" i="5"/>
  <c r="BP30" i="36" s="1"/>
  <c r="BP31" i="5"/>
  <c r="BP31" i="36" s="1"/>
  <c r="BP32" i="5"/>
  <c r="BP32" i="36" s="1"/>
  <c r="BP33" i="5"/>
  <c r="BP33" i="36" s="1"/>
  <c r="BP13" i="5"/>
  <c r="BP13" i="36" s="1"/>
  <c r="BP14" i="5"/>
  <c r="BP14" i="36" s="1"/>
  <c r="BP15" i="5"/>
  <c r="BP15" i="36" s="1"/>
  <c r="BP16" i="5"/>
  <c r="BP16" i="36" s="1"/>
  <c r="BP12" i="5"/>
  <c r="BP12" i="36" s="1"/>
  <c r="BP3" i="5"/>
  <c r="BP4" i="5"/>
  <c r="BP5" i="5"/>
  <c r="BP2" i="5"/>
  <c r="BQ107" i="5"/>
  <c r="BN27" i="5"/>
  <c r="BN27" i="36" s="1"/>
  <c r="BN35" i="5"/>
  <c r="BN35" i="36" s="1"/>
  <c r="BN12" i="5"/>
  <c r="BN12" i="36" s="1"/>
  <c r="BM97" i="36"/>
  <c r="BL97" i="36"/>
  <c r="BM75" i="36"/>
  <c r="BN93" i="5"/>
  <c r="BN93" i="36" s="1"/>
  <c r="BN74" i="5"/>
  <c r="BN74" i="36" s="1"/>
  <c r="BN39" i="5"/>
  <c r="BN39" i="36" s="1"/>
  <c r="BN103" i="7"/>
  <c r="BN107" i="7"/>
  <c r="BN72" i="7"/>
  <c r="BN72" i="36" s="1"/>
  <c r="BP56" i="7"/>
  <c r="BP57" i="7"/>
  <c r="BP58" i="7"/>
  <c r="BP59" i="7"/>
  <c r="BP60" i="7"/>
  <c r="BP61" i="7"/>
  <c r="BP62" i="7"/>
  <c r="BP63" i="7"/>
  <c r="BP64" i="7"/>
  <c r="BP65" i="7"/>
  <c r="BP66" i="7"/>
  <c r="BP67" i="7"/>
  <c r="BP68" i="7"/>
  <c r="BP69" i="7"/>
  <c r="BP70" i="7"/>
  <c r="BP71" i="7"/>
  <c r="BP72" i="7"/>
  <c r="BP73" i="7"/>
  <c r="BP74" i="7"/>
  <c r="BP75" i="7"/>
  <c r="BP76" i="7"/>
  <c r="BP77" i="7"/>
  <c r="BP78" i="7"/>
  <c r="BP79" i="7"/>
  <c r="BP80" i="7"/>
  <c r="BP81" i="7"/>
  <c r="BP82" i="7"/>
  <c r="BP83" i="7"/>
  <c r="BP84" i="7"/>
  <c r="BP85" i="7"/>
  <c r="BP86" i="7"/>
  <c r="BP87" i="7"/>
  <c r="BP88" i="7"/>
  <c r="BP89" i="7"/>
  <c r="BP90" i="7"/>
  <c r="BP91" i="7"/>
  <c r="BP92" i="7"/>
  <c r="BP93" i="7"/>
  <c r="BP94" i="7"/>
  <c r="BP95" i="7"/>
  <c r="BP96" i="7"/>
  <c r="BP98" i="7"/>
  <c r="BP99" i="7"/>
  <c r="BP100" i="7"/>
  <c r="BP101" i="7"/>
  <c r="BP36" i="7"/>
  <c r="BP36" i="36" s="1"/>
  <c r="BP38" i="7"/>
  <c r="BP38" i="36" s="1"/>
  <c r="BP18" i="7"/>
  <c r="BO107" i="7"/>
  <c r="BO106" i="7"/>
  <c r="BQ105" i="7"/>
  <c r="BO105" i="7"/>
  <c r="BO104" i="7"/>
  <c r="BQ103" i="7"/>
  <c r="BO103" i="7"/>
  <c r="BO107" i="3"/>
  <c r="BO106" i="3"/>
  <c r="BO105" i="3"/>
  <c r="BO104" i="3"/>
  <c r="BO103" i="3"/>
  <c r="BO107" i="2"/>
  <c r="BO106" i="2"/>
  <c r="BO105" i="2"/>
  <c r="BO104" i="2"/>
  <c r="BO103" i="2"/>
  <c r="BM27" i="5"/>
  <c r="BM93" i="5"/>
  <c r="BP83" i="36" l="1"/>
  <c r="BT105" i="1"/>
  <c r="BQ15" i="5"/>
  <c r="BQ15" i="36" s="1"/>
  <c r="BT105" i="36"/>
  <c r="BQ106" i="5"/>
  <c r="BQ18" i="36"/>
  <c r="BP103" i="7"/>
  <c r="BP18" i="36"/>
  <c r="BQ95" i="7"/>
  <c r="BQ95" i="36" s="1"/>
  <c r="BP95" i="36"/>
  <c r="BQ87" i="7"/>
  <c r="BQ87" i="36" s="1"/>
  <c r="BP87" i="36"/>
  <c r="BQ79" i="7"/>
  <c r="BQ79" i="36" s="1"/>
  <c r="BP79" i="36"/>
  <c r="BQ67" i="7"/>
  <c r="BQ67" i="36" s="1"/>
  <c r="BP67" i="36"/>
  <c r="BQ63" i="7"/>
  <c r="BQ63" i="36" s="1"/>
  <c r="BP63" i="36"/>
  <c r="BQ59" i="7"/>
  <c r="BQ59" i="36" s="1"/>
  <c r="BP59" i="36"/>
  <c r="BP2" i="36"/>
  <c r="BQ2" i="5"/>
  <c r="BQ2" i="36" s="1"/>
  <c r="BQ99" i="7"/>
  <c r="BQ99" i="36" s="1"/>
  <c r="BP99" i="36"/>
  <c r="BQ94" i="7"/>
  <c r="BQ94" i="36" s="1"/>
  <c r="BP94" i="36"/>
  <c r="BQ90" i="7"/>
  <c r="BQ90" i="36" s="1"/>
  <c r="BP90" i="36"/>
  <c r="BQ86" i="7"/>
  <c r="BQ86" i="36" s="1"/>
  <c r="BP86" i="36"/>
  <c r="BQ82" i="7"/>
  <c r="BQ82" i="36" s="1"/>
  <c r="BP82" i="36"/>
  <c r="BQ78" i="7"/>
  <c r="BQ78" i="36" s="1"/>
  <c r="BP78" i="36"/>
  <c r="BQ74" i="7"/>
  <c r="BQ74" i="36" s="1"/>
  <c r="BP74" i="36"/>
  <c r="BQ70" i="7"/>
  <c r="BQ70" i="36" s="1"/>
  <c r="BP70" i="36"/>
  <c r="BQ66" i="7"/>
  <c r="BQ66" i="36" s="1"/>
  <c r="BP66" i="36"/>
  <c r="BQ62" i="7"/>
  <c r="BQ62" i="36" s="1"/>
  <c r="BP62" i="36"/>
  <c r="BQ58" i="7"/>
  <c r="BQ58" i="36" s="1"/>
  <c r="BP58" i="36"/>
  <c r="BP5" i="36"/>
  <c r="BQ5" i="5"/>
  <c r="BQ5" i="36" s="1"/>
  <c r="BP107" i="5"/>
  <c r="BQ100" i="7"/>
  <c r="BP100" i="36"/>
  <c r="BQ91" i="7"/>
  <c r="BQ91" i="36" s="1"/>
  <c r="BP91" i="36"/>
  <c r="BQ71" i="7"/>
  <c r="BQ71" i="36" s="1"/>
  <c r="BP71" i="36"/>
  <c r="BQ93" i="7"/>
  <c r="BQ93" i="36" s="1"/>
  <c r="BP93" i="36"/>
  <c r="BQ77" i="7"/>
  <c r="BQ77" i="36" s="1"/>
  <c r="BP77" i="36"/>
  <c r="BQ65" i="7"/>
  <c r="BQ65" i="36" s="1"/>
  <c r="BP65" i="36"/>
  <c r="BQ57" i="7"/>
  <c r="BQ57" i="36" s="1"/>
  <c r="BP57" i="36"/>
  <c r="BN106" i="7"/>
  <c r="BN107" i="5"/>
  <c r="BQ4" i="5"/>
  <c r="BQ4" i="36" s="1"/>
  <c r="BP4" i="36"/>
  <c r="BQ12" i="5"/>
  <c r="BQ12" i="36" s="1"/>
  <c r="BS104" i="36"/>
  <c r="BS108" i="36" s="1"/>
  <c r="BQ75" i="7"/>
  <c r="BQ75" i="36" s="1"/>
  <c r="BP75" i="36"/>
  <c r="BQ98" i="7"/>
  <c r="BQ98" i="36" s="1"/>
  <c r="BP98" i="36"/>
  <c r="BQ89" i="7"/>
  <c r="BP89" i="36"/>
  <c r="BQ85" i="7"/>
  <c r="BQ85" i="36" s="1"/>
  <c r="BP85" i="36"/>
  <c r="BQ81" i="7"/>
  <c r="BQ81" i="36" s="1"/>
  <c r="BP81" i="36"/>
  <c r="BQ73" i="7"/>
  <c r="BQ73" i="36" s="1"/>
  <c r="BP73" i="36"/>
  <c r="BQ69" i="7"/>
  <c r="BQ69" i="36" s="1"/>
  <c r="BP69" i="36"/>
  <c r="BQ61" i="7"/>
  <c r="BQ61" i="36" s="1"/>
  <c r="BP61" i="36"/>
  <c r="BQ101" i="7"/>
  <c r="BQ101" i="36" s="1"/>
  <c r="BP101" i="36"/>
  <c r="BQ96" i="7"/>
  <c r="BQ96" i="36" s="1"/>
  <c r="BP96" i="36"/>
  <c r="BQ92" i="7"/>
  <c r="BQ92" i="36" s="1"/>
  <c r="BP92" i="36"/>
  <c r="BQ88" i="7"/>
  <c r="BQ88" i="36" s="1"/>
  <c r="BP88" i="36"/>
  <c r="BQ84" i="7"/>
  <c r="BQ84" i="36" s="1"/>
  <c r="BP84" i="36"/>
  <c r="BQ80" i="7"/>
  <c r="BQ80" i="36" s="1"/>
  <c r="BP80" i="36"/>
  <c r="BQ76" i="7"/>
  <c r="BQ76" i="36" s="1"/>
  <c r="BP76" i="36"/>
  <c r="BQ72" i="7"/>
  <c r="BQ72" i="36" s="1"/>
  <c r="BP72" i="36"/>
  <c r="BQ68" i="7"/>
  <c r="BQ68" i="36" s="1"/>
  <c r="BP68" i="36"/>
  <c r="BQ64" i="7"/>
  <c r="BQ64" i="36" s="1"/>
  <c r="BP64" i="36"/>
  <c r="BQ60" i="7"/>
  <c r="BQ60" i="36" s="1"/>
  <c r="BP60" i="36"/>
  <c r="BQ56" i="7"/>
  <c r="BP56" i="36"/>
  <c r="BN106" i="5"/>
  <c r="BP3" i="36"/>
  <c r="BQ3" i="5"/>
  <c r="BQ3" i="36" s="1"/>
  <c r="BT104" i="1"/>
  <c r="BO106" i="5"/>
  <c r="BO104" i="5"/>
  <c r="BO108" i="5" s="1"/>
  <c r="BO108" i="2"/>
  <c r="BO106" i="36"/>
  <c r="BN107" i="36"/>
  <c r="BO105" i="36"/>
  <c r="BO107" i="36"/>
  <c r="BQ104" i="5"/>
  <c r="BQ105" i="5"/>
  <c r="BP106" i="5"/>
  <c r="BP104" i="5"/>
  <c r="BP105" i="36"/>
  <c r="BP105" i="5"/>
  <c r="BP103" i="5"/>
  <c r="BN106" i="36"/>
  <c r="BO103" i="36"/>
  <c r="BP104" i="7"/>
  <c r="BP108" i="7" s="1"/>
  <c r="BP106" i="7"/>
  <c r="BP105" i="7"/>
  <c r="BP107" i="7"/>
  <c r="BO108" i="3"/>
  <c r="BO108" i="7"/>
  <c r="BM39" i="5"/>
  <c r="AG117" i="35"/>
  <c r="BM69" i="2"/>
  <c r="BP107" i="36" l="1"/>
  <c r="BP106" i="36"/>
  <c r="BP104" i="36"/>
  <c r="BP103" i="36"/>
  <c r="BQ103" i="36"/>
  <c r="BQ89" i="36"/>
  <c r="BQ107" i="36" s="1"/>
  <c r="BQ107" i="7"/>
  <c r="BQ56" i="36"/>
  <c r="BQ104" i="7"/>
  <c r="BQ108" i="7" s="1"/>
  <c r="BQ100" i="36"/>
  <c r="BQ106" i="7"/>
  <c r="BQ103" i="5"/>
  <c r="BQ108" i="5" s="1"/>
  <c r="BO104" i="36"/>
  <c r="BO108" i="36" s="1"/>
  <c r="BQ105" i="36"/>
  <c r="BP108" i="5"/>
  <c r="BM35" i="5"/>
  <c r="BM35" i="36" s="1"/>
  <c r="BM93" i="1"/>
  <c r="BM90" i="2"/>
  <c r="BM90" i="36" s="1"/>
  <c r="BM12" i="5"/>
  <c r="BM70" i="36"/>
  <c r="BM71" i="36"/>
  <c r="BM66" i="36"/>
  <c r="BM67" i="36"/>
  <c r="BM34" i="36"/>
  <c r="BM37" i="36"/>
  <c r="BM101" i="36" s="1"/>
  <c r="BM56" i="36"/>
  <c r="BM57" i="36"/>
  <c r="BM58" i="36"/>
  <c r="BM59" i="36"/>
  <c r="BM61" i="36"/>
  <c r="BM64" i="36"/>
  <c r="BM65" i="36"/>
  <c r="BM68" i="36"/>
  <c r="BM76" i="36"/>
  <c r="BM77" i="36"/>
  <c r="BM78" i="36"/>
  <c r="BM79" i="36"/>
  <c r="BM80" i="36"/>
  <c r="BM81" i="36"/>
  <c r="BM82" i="36"/>
  <c r="BM83" i="36"/>
  <c r="BM84" i="36"/>
  <c r="BM85" i="36"/>
  <c r="BM86" i="36"/>
  <c r="BM87" i="36"/>
  <c r="BM88" i="36"/>
  <c r="BM91" i="36"/>
  <c r="BM92" i="36"/>
  <c r="BM94" i="36"/>
  <c r="BM95" i="36"/>
  <c r="BM96" i="36"/>
  <c r="BM98" i="36"/>
  <c r="BM99" i="36"/>
  <c r="BM100" i="36"/>
  <c r="BM39" i="2"/>
  <c r="BM41" i="2"/>
  <c r="BM44" i="2"/>
  <c r="BM45" i="2"/>
  <c r="BM46" i="2"/>
  <c r="BM48" i="2"/>
  <c r="BM50" i="2"/>
  <c r="BM51" i="2"/>
  <c r="BM40" i="5"/>
  <c r="V7" i="37"/>
  <c r="BP108" i="36" l="1"/>
  <c r="BQ104" i="36"/>
  <c r="BQ108" i="36" s="1"/>
  <c r="BQ106" i="36"/>
  <c r="BM93" i="2"/>
  <c r="BM93" i="36" s="1"/>
  <c r="AG116" i="35"/>
  <c r="BM22" i="3" l="1"/>
  <c r="BL22" i="3"/>
  <c r="BM74" i="5" l="1"/>
  <c r="BM74" i="36" s="1"/>
  <c r="BM40" i="1" l="1"/>
  <c r="BM41" i="1"/>
  <c r="BM41" i="36" s="1"/>
  <c r="BM42" i="1"/>
  <c r="BM43" i="1"/>
  <c r="BM43" i="36" s="1"/>
  <c r="BM44" i="1"/>
  <c r="BM44" i="36" s="1"/>
  <c r="BM45" i="1"/>
  <c r="BM46" i="1"/>
  <c r="BM46" i="36" s="1"/>
  <c r="BM47" i="1"/>
  <c r="BM48" i="1"/>
  <c r="BM48" i="36" s="1"/>
  <c r="BM49" i="1"/>
  <c r="BM50" i="1"/>
  <c r="BM50" i="36" s="1"/>
  <c r="BM51" i="1"/>
  <c r="BM51" i="36" s="1"/>
  <c r="BM39" i="1"/>
  <c r="BM39" i="36" s="1"/>
  <c r="BM42" i="7"/>
  <c r="BN42" i="7" s="1"/>
  <c r="BM47" i="7"/>
  <c r="BN47" i="7" s="1"/>
  <c r="BM49" i="7"/>
  <c r="BN49" i="7" s="1"/>
  <c r="BM53" i="7"/>
  <c r="BN53" i="7" s="1"/>
  <c r="BN53" i="36" s="1"/>
  <c r="BM54" i="7"/>
  <c r="BM55" i="7"/>
  <c r="BM72" i="7"/>
  <c r="BM106" i="7" s="1"/>
  <c r="BM107" i="7"/>
  <c r="AH35" i="32"/>
  <c r="BN52" i="7" l="1"/>
  <c r="BN49" i="36"/>
  <c r="BM52" i="7"/>
  <c r="BM105" i="7" s="1"/>
  <c r="BN105" i="7" l="1"/>
  <c r="BN104" i="7"/>
  <c r="BN108" i="7" s="1"/>
  <c r="AG48" i="35"/>
  <c r="U35" i="35"/>
  <c r="V35" i="35"/>
  <c r="BM73" i="36" l="1"/>
  <c r="BM69" i="36"/>
  <c r="BM60" i="2"/>
  <c r="AB29" i="33"/>
  <c r="V19" i="37"/>
  <c r="BM60" i="36" l="1"/>
  <c r="BM72" i="2"/>
  <c r="BM107" i="5"/>
  <c r="BM42" i="5"/>
  <c r="BN42" i="5" s="1"/>
  <c r="BM45" i="5"/>
  <c r="BM47" i="5"/>
  <c r="BN47" i="5" s="1"/>
  <c r="BN47" i="36" s="1"/>
  <c r="BM107" i="2"/>
  <c r="BM40" i="2"/>
  <c r="BM47" i="2"/>
  <c r="BM49" i="2"/>
  <c r="BM53" i="2"/>
  <c r="BM53" i="36" s="1"/>
  <c r="BM54" i="2"/>
  <c r="BM54" i="36" s="1"/>
  <c r="BM55" i="2"/>
  <c r="BM55" i="36" s="1"/>
  <c r="BM22" i="2"/>
  <c r="BM107" i="3"/>
  <c r="BM72" i="3"/>
  <c r="BM106" i="3" s="1"/>
  <c r="BM40" i="3"/>
  <c r="BM42" i="3"/>
  <c r="BM47" i="3"/>
  <c r="BM49" i="3"/>
  <c r="BM103" i="3"/>
  <c r="BM72" i="1"/>
  <c r="BN42" i="36" l="1"/>
  <c r="BM105" i="3"/>
  <c r="BM45" i="36"/>
  <c r="BN45" i="5"/>
  <c r="BN45" i="36" s="1"/>
  <c r="BM47" i="36"/>
  <c r="BM52" i="2"/>
  <c r="BM105" i="2" s="1"/>
  <c r="BM40" i="36"/>
  <c r="BM52" i="5"/>
  <c r="BM42" i="36"/>
  <c r="BM49" i="36"/>
  <c r="BM72" i="36"/>
  <c r="BM104" i="3"/>
  <c r="BM108" i="3" s="1"/>
  <c r="BM106" i="2"/>
  <c r="BM104" i="2"/>
  <c r="BM22" i="1"/>
  <c r="BM52" i="1"/>
  <c r="BL34" i="36"/>
  <c r="BJ101" i="5"/>
  <c r="BK101" i="5"/>
  <c r="BL101" i="5"/>
  <c r="AG173" i="35"/>
  <c r="AG77" i="35"/>
  <c r="AG67" i="35"/>
  <c r="AG15" i="35"/>
  <c r="BN52" i="5" l="1"/>
  <c r="BN52" i="36" s="1"/>
  <c r="BN104" i="36" s="1"/>
  <c r="BM52" i="36"/>
  <c r="AG175" i="35"/>
  <c r="BM105" i="1"/>
  <c r="BL44" i="5"/>
  <c r="BL39" i="7"/>
  <c r="BN105" i="5" l="1"/>
  <c r="BN104" i="5"/>
  <c r="BN105" i="36"/>
  <c r="BM105" i="5"/>
  <c r="BK3" i="36"/>
  <c r="BK4" i="36"/>
  <c r="BK5" i="36"/>
  <c r="BK6" i="36"/>
  <c r="BK7" i="36"/>
  <c r="BK8" i="36"/>
  <c r="BK9" i="36"/>
  <c r="BK10" i="36"/>
  <c r="BK11" i="36"/>
  <c r="BK12" i="36"/>
  <c r="BK13" i="36"/>
  <c r="BK14" i="36"/>
  <c r="BK15" i="36"/>
  <c r="BK16" i="36"/>
  <c r="BK17" i="36"/>
  <c r="BK18" i="36"/>
  <c r="BK19" i="36"/>
  <c r="BK20" i="36"/>
  <c r="BK21" i="36"/>
  <c r="BK22" i="36"/>
  <c r="BK24" i="36"/>
  <c r="BK25" i="36"/>
  <c r="BK26" i="36"/>
  <c r="BK27" i="36"/>
  <c r="BK28" i="36"/>
  <c r="BK29" i="36"/>
  <c r="BK30" i="36"/>
  <c r="BK31" i="36"/>
  <c r="BK32" i="36"/>
  <c r="BK33" i="36"/>
  <c r="BK35" i="36"/>
  <c r="BK36" i="36"/>
  <c r="BK37" i="36"/>
  <c r="BK38" i="36"/>
  <c r="BK39" i="36"/>
  <c r="BL39" i="36"/>
  <c r="BK40" i="36"/>
  <c r="BL40" i="36"/>
  <c r="BK41" i="36"/>
  <c r="BL41" i="36"/>
  <c r="BK42" i="36"/>
  <c r="BL42" i="36"/>
  <c r="BK43" i="36"/>
  <c r="BL43" i="36"/>
  <c r="BK44" i="36"/>
  <c r="BL44" i="36"/>
  <c r="BK45" i="36"/>
  <c r="BL45" i="36"/>
  <c r="BK46" i="36"/>
  <c r="BL46" i="36"/>
  <c r="BK47" i="36"/>
  <c r="BL47" i="36"/>
  <c r="BK48" i="36"/>
  <c r="BL48" i="36"/>
  <c r="BK49" i="36"/>
  <c r="BL49" i="36"/>
  <c r="BK50" i="36"/>
  <c r="BL50" i="36"/>
  <c r="BK51" i="36"/>
  <c r="BL51" i="36"/>
  <c r="BK52" i="36"/>
  <c r="BL52" i="36"/>
  <c r="BK53" i="36"/>
  <c r="BL53" i="36"/>
  <c r="BK54" i="36"/>
  <c r="BL54" i="36"/>
  <c r="BK55" i="36"/>
  <c r="BL55" i="36"/>
  <c r="BK56" i="36"/>
  <c r="BK57" i="36"/>
  <c r="BK58" i="36"/>
  <c r="BK59" i="36"/>
  <c r="BK60" i="36"/>
  <c r="BK61" i="36"/>
  <c r="BK64" i="36"/>
  <c r="BK65" i="36"/>
  <c r="BK66" i="36"/>
  <c r="BK67" i="36"/>
  <c r="BK68" i="36"/>
  <c r="BK69" i="36"/>
  <c r="BK70" i="36"/>
  <c r="BK71" i="36"/>
  <c r="BK72" i="36"/>
  <c r="BK73" i="36"/>
  <c r="BK74" i="36"/>
  <c r="BK75" i="36"/>
  <c r="BK76" i="36"/>
  <c r="BK77" i="36"/>
  <c r="BK78" i="36"/>
  <c r="BK79" i="36"/>
  <c r="BK80" i="36"/>
  <c r="BK81" i="36"/>
  <c r="BK82" i="36"/>
  <c r="BK83" i="36"/>
  <c r="BK84" i="36"/>
  <c r="BK85" i="36"/>
  <c r="BK86" i="36"/>
  <c r="BK87" i="36"/>
  <c r="BK88" i="36"/>
  <c r="BK89" i="36"/>
  <c r="BK90" i="36"/>
  <c r="BK91" i="36"/>
  <c r="BK92" i="36"/>
  <c r="BK93" i="36"/>
  <c r="BK94" i="36"/>
  <c r="BK95" i="36"/>
  <c r="BK96" i="36"/>
  <c r="BK98" i="36"/>
  <c r="BK100" i="36"/>
  <c r="BK101" i="36"/>
  <c r="BJ2" i="36"/>
  <c r="BK2" i="36"/>
  <c r="BJ43" i="36"/>
  <c r="BL4" i="5"/>
  <c r="BL5" i="5"/>
  <c r="BL14" i="5"/>
  <c r="BM14" i="5" s="1"/>
  <c r="BL18" i="5"/>
  <c r="BM18" i="5" s="1"/>
  <c r="BM18" i="36" s="1"/>
  <c r="BL19" i="5"/>
  <c r="BL20" i="5"/>
  <c r="BL21" i="5"/>
  <c r="BL22" i="5"/>
  <c r="BL25" i="5"/>
  <c r="BM25" i="5" s="1"/>
  <c r="BN25" i="5" s="1"/>
  <c r="BL26" i="5"/>
  <c r="BM26" i="5" s="1"/>
  <c r="BN26" i="5" s="1"/>
  <c r="BN26" i="36" s="1"/>
  <c r="BL28" i="5"/>
  <c r="BM28" i="5" s="1"/>
  <c r="BN28" i="5" s="1"/>
  <c r="BN28" i="36" s="1"/>
  <c r="BL31" i="5"/>
  <c r="BM31" i="5" s="1"/>
  <c r="BN31" i="5" s="1"/>
  <c r="BN31" i="36" s="1"/>
  <c r="BL32" i="5"/>
  <c r="BM32" i="5" s="1"/>
  <c r="BN32" i="5" s="1"/>
  <c r="BN32" i="36" s="1"/>
  <c r="BL56" i="5"/>
  <c r="BL57" i="5"/>
  <c r="BL58" i="5"/>
  <c r="BL59" i="5"/>
  <c r="BL60" i="5"/>
  <c r="BL61" i="5"/>
  <c r="BL64" i="5"/>
  <c r="BL65" i="5"/>
  <c r="BL66" i="5"/>
  <c r="BL67" i="5"/>
  <c r="BL68" i="5"/>
  <c r="BL69" i="5"/>
  <c r="BL70" i="5"/>
  <c r="BL71" i="5"/>
  <c r="BL72" i="5"/>
  <c r="BL73" i="5"/>
  <c r="BL76" i="5"/>
  <c r="BL77" i="5"/>
  <c r="BL78" i="5"/>
  <c r="BL79" i="5"/>
  <c r="BL80" i="5"/>
  <c r="BL81" i="5"/>
  <c r="BL82" i="5"/>
  <c r="BL83" i="5"/>
  <c r="BL84" i="5"/>
  <c r="BL85" i="5"/>
  <c r="BL86" i="5"/>
  <c r="BL87" i="5"/>
  <c r="BL88" i="5"/>
  <c r="BL98" i="5"/>
  <c r="BL107" i="5" s="1"/>
  <c r="BL100" i="5"/>
  <c r="BL3" i="7"/>
  <c r="BL4" i="7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25" i="7"/>
  <c r="BL26" i="7"/>
  <c r="BL27" i="7"/>
  <c r="BL28" i="7"/>
  <c r="BL29" i="7"/>
  <c r="BL30" i="7"/>
  <c r="BL31" i="7"/>
  <c r="BL32" i="7"/>
  <c r="BL33" i="7"/>
  <c r="BL35" i="36"/>
  <c r="BL36" i="7"/>
  <c r="BL38" i="7"/>
  <c r="BM38" i="7" s="1"/>
  <c r="BL105" i="7"/>
  <c r="BL56" i="7"/>
  <c r="BL57" i="7"/>
  <c r="BL58" i="7"/>
  <c r="BL59" i="7"/>
  <c r="BL60" i="7"/>
  <c r="BL61" i="7"/>
  <c r="BL64" i="7"/>
  <c r="BL65" i="7"/>
  <c r="BL66" i="7"/>
  <c r="BL67" i="7"/>
  <c r="BL68" i="7"/>
  <c r="BL69" i="7"/>
  <c r="BL70" i="7"/>
  <c r="BL71" i="7"/>
  <c r="BL72" i="7"/>
  <c r="BL73" i="7"/>
  <c r="BL74" i="7"/>
  <c r="BL75" i="7"/>
  <c r="BL76" i="7"/>
  <c r="BL77" i="7"/>
  <c r="BL78" i="7"/>
  <c r="BL79" i="7"/>
  <c r="BL80" i="7"/>
  <c r="BL81" i="7"/>
  <c r="BL82" i="7"/>
  <c r="BL83" i="7"/>
  <c r="BL84" i="7"/>
  <c r="BL85" i="7"/>
  <c r="BL86" i="7"/>
  <c r="BL87" i="7"/>
  <c r="BL88" i="7"/>
  <c r="BL89" i="7"/>
  <c r="BL90" i="7"/>
  <c r="BL94" i="7"/>
  <c r="BL95" i="7"/>
  <c r="BL96" i="7"/>
  <c r="BL98" i="7"/>
  <c r="BL100" i="7"/>
  <c r="BL101" i="7"/>
  <c r="BL2" i="7"/>
  <c r="BM2" i="7" s="1"/>
  <c r="BL3" i="3"/>
  <c r="BL4" i="3"/>
  <c r="BL5" i="3"/>
  <c r="BL6" i="3"/>
  <c r="BL7" i="3"/>
  <c r="BL8" i="3"/>
  <c r="BL9" i="3"/>
  <c r="BL10" i="3"/>
  <c r="BL11" i="3"/>
  <c r="BL12" i="3"/>
  <c r="BL13" i="3"/>
  <c r="BL14" i="3"/>
  <c r="BL15" i="3"/>
  <c r="BL16" i="3"/>
  <c r="BL17" i="3"/>
  <c r="BL18" i="3"/>
  <c r="BL19" i="3"/>
  <c r="BL20" i="3"/>
  <c r="BL21" i="3"/>
  <c r="BL25" i="3"/>
  <c r="BL26" i="3"/>
  <c r="BL27" i="3"/>
  <c r="BL28" i="3"/>
  <c r="BL29" i="3"/>
  <c r="BL30" i="3"/>
  <c r="BL31" i="3"/>
  <c r="BL32" i="3"/>
  <c r="BL33" i="3"/>
  <c r="BL36" i="3"/>
  <c r="BL38" i="3"/>
  <c r="BL56" i="3"/>
  <c r="BL57" i="3"/>
  <c r="BL58" i="3"/>
  <c r="BL59" i="3"/>
  <c r="BL60" i="3"/>
  <c r="BL66" i="3"/>
  <c r="BL67" i="3"/>
  <c r="BL68" i="3"/>
  <c r="BL69" i="3"/>
  <c r="BL70" i="3"/>
  <c r="BL71" i="3"/>
  <c r="BL72" i="3"/>
  <c r="BL73" i="3"/>
  <c r="BL74" i="3"/>
  <c r="BL75" i="3"/>
  <c r="BL76" i="3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8" i="3"/>
  <c r="BL100" i="3"/>
  <c r="BL101" i="3"/>
  <c r="BL2" i="3"/>
  <c r="BL3" i="2"/>
  <c r="BM3" i="2" s="1"/>
  <c r="BL4" i="2"/>
  <c r="BM4" i="2" s="1"/>
  <c r="BL5" i="2"/>
  <c r="BM5" i="2" s="1"/>
  <c r="BL6" i="2"/>
  <c r="BM6" i="2" s="1"/>
  <c r="BL7" i="2"/>
  <c r="BL8" i="2"/>
  <c r="BM8" i="2" s="1"/>
  <c r="BL9" i="2"/>
  <c r="BL10" i="2"/>
  <c r="BL11" i="2"/>
  <c r="BM11" i="2" s="1"/>
  <c r="BL12" i="2"/>
  <c r="BM12" i="2" s="1"/>
  <c r="BL13" i="2"/>
  <c r="BM13" i="2" s="1"/>
  <c r="BL14" i="2"/>
  <c r="BM14" i="2" s="1"/>
  <c r="BL15" i="2"/>
  <c r="BM15" i="2" s="1"/>
  <c r="BL16" i="2"/>
  <c r="BM16" i="2" s="1"/>
  <c r="BL17" i="2"/>
  <c r="BM17" i="2" s="1"/>
  <c r="BL18" i="2"/>
  <c r="BL19" i="2"/>
  <c r="BM19" i="2" s="1"/>
  <c r="BM19" i="36" s="1"/>
  <c r="BL20" i="2"/>
  <c r="BM20" i="2" s="1"/>
  <c r="BL21" i="2"/>
  <c r="BM21" i="2" s="1"/>
  <c r="BM21" i="36" s="1"/>
  <c r="BL22" i="2"/>
  <c r="BL24" i="2"/>
  <c r="BM24" i="2" s="1"/>
  <c r="BM24" i="36" s="1"/>
  <c r="BL25" i="2"/>
  <c r="BM25" i="2" s="1"/>
  <c r="BL26" i="2"/>
  <c r="BM26" i="2" s="1"/>
  <c r="BL27" i="2"/>
  <c r="BM27" i="2" s="1"/>
  <c r="BL28" i="2"/>
  <c r="BM28" i="2" s="1"/>
  <c r="BL29" i="2"/>
  <c r="BM29" i="2" s="1"/>
  <c r="BL30" i="2"/>
  <c r="BM30" i="2" s="1"/>
  <c r="BL31" i="2"/>
  <c r="BM31" i="2" s="1"/>
  <c r="BL32" i="2"/>
  <c r="BM32" i="2" s="1"/>
  <c r="BL33" i="2"/>
  <c r="BM33" i="2" s="1"/>
  <c r="BL36" i="2"/>
  <c r="BM36" i="2" s="1"/>
  <c r="BM36" i="36" s="1"/>
  <c r="BL38" i="2"/>
  <c r="BL105" i="2"/>
  <c r="BL56" i="2"/>
  <c r="BL57" i="2"/>
  <c r="BL58" i="2"/>
  <c r="BL59" i="2"/>
  <c r="BL60" i="2"/>
  <c r="BL61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L79" i="2"/>
  <c r="BL80" i="2"/>
  <c r="BL81" i="2"/>
  <c r="BL82" i="2"/>
  <c r="BL83" i="2"/>
  <c r="BL84" i="2"/>
  <c r="BL85" i="2"/>
  <c r="BL86" i="2"/>
  <c r="BL87" i="2"/>
  <c r="BL88" i="2"/>
  <c r="BL89" i="2"/>
  <c r="BL90" i="2"/>
  <c r="BL94" i="2"/>
  <c r="BL95" i="2"/>
  <c r="BL96" i="2"/>
  <c r="BL98" i="2"/>
  <c r="BL100" i="2"/>
  <c r="BL101" i="2"/>
  <c r="BL2" i="2"/>
  <c r="BM2" i="2" s="1"/>
  <c r="BL3" i="1"/>
  <c r="BM3" i="1" s="1"/>
  <c r="BL4" i="1"/>
  <c r="BM4" i="1" s="1"/>
  <c r="BL5" i="1"/>
  <c r="BM5" i="1" s="1"/>
  <c r="BL6" i="1"/>
  <c r="BM6" i="1" s="1"/>
  <c r="BL7" i="1"/>
  <c r="BM7" i="1" s="1"/>
  <c r="BL8" i="1"/>
  <c r="BM8" i="1" s="1"/>
  <c r="BL9" i="1"/>
  <c r="BM9" i="1" s="1"/>
  <c r="BM9" i="36" s="1"/>
  <c r="BL10" i="1"/>
  <c r="BM10" i="1" s="1"/>
  <c r="BL11" i="1"/>
  <c r="BM11" i="1" s="1"/>
  <c r="BL12" i="1"/>
  <c r="BM12" i="1" s="1"/>
  <c r="BL13" i="1"/>
  <c r="BM13" i="1" s="1"/>
  <c r="BL14" i="1"/>
  <c r="BM14" i="1" s="1"/>
  <c r="BL15" i="1"/>
  <c r="BM15" i="1" s="1"/>
  <c r="BL16" i="1"/>
  <c r="BM16" i="1" s="1"/>
  <c r="BL17" i="1"/>
  <c r="BM17" i="1" s="1"/>
  <c r="BL18" i="1"/>
  <c r="BL19" i="1"/>
  <c r="BL20" i="1"/>
  <c r="BL21" i="1"/>
  <c r="BL22" i="1"/>
  <c r="BL24" i="1"/>
  <c r="BL25" i="1"/>
  <c r="BL26" i="1"/>
  <c r="BL27" i="1"/>
  <c r="BL28" i="1"/>
  <c r="BL29" i="1"/>
  <c r="BL30" i="1"/>
  <c r="BL31" i="1"/>
  <c r="BL32" i="1"/>
  <c r="BL33" i="1"/>
  <c r="BL36" i="1"/>
  <c r="BL38" i="1"/>
  <c r="BL56" i="1"/>
  <c r="BL57" i="1"/>
  <c r="BL58" i="1"/>
  <c r="BL59" i="1"/>
  <c r="BL60" i="1"/>
  <c r="BL61" i="1"/>
  <c r="BL64" i="1"/>
  <c r="BL62" i="36" s="1"/>
  <c r="BL65" i="1"/>
  <c r="BL63" i="36" s="1"/>
  <c r="BL69" i="1"/>
  <c r="BL70" i="1"/>
  <c r="BL71" i="1"/>
  <c r="BL72" i="1"/>
  <c r="BL73" i="1"/>
  <c r="BM89" i="36"/>
  <c r="BL2" i="1"/>
  <c r="BM2" i="1" s="1"/>
  <c r="BK107" i="5"/>
  <c r="BK106" i="5"/>
  <c r="BK105" i="5"/>
  <c r="BK104" i="5"/>
  <c r="BK103" i="5"/>
  <c r="BK107" i="7"/>
  <c r="BK106" i="7"/>
  <c r="BK105" i="7"/>
  <c r="BK104" i="7"/>
  <c r="BK103" i="7"/>
  <c r="BK107" i="3"/>
  <c r="BK106" i="3"/>
  <c r="BK105" i="3"/>
  <c r="BK104" i="3"/>
  <c r="BK103" i="3"/>
  <c r="BK107" i="2"/>
  <c r="BK106" i="2"/>
  <c r="BK105" i="2"/>
  <c r="BK104" i="2"/>
  <c r="BK103" i="2"/>
  <c r="BL105" i="1"/>
  <c r="BJ103" i="1"/>
  <c r="BK103" i="1"/>
  <c r="BJ104" i="1"/>
  <c r="BK104" i="1"/>
  <c r="BJ105" i="1"/>
  <c r="BK105" i="1"/>
  <c r="BJ106" i="1"/>
  <c r="BK106" i="1"/>
  <c r="BJ107" i="1"/>
  <c r="BK107" i="1"/>
  <c r="AG35" i="32"/>
  <c r="BI101" i="5"/>
  <c r="BI33" i="5"/>
  <c r="BJ103" i="5"/>
  <c r="BJ104" i="5"/>
  <c r="BJ105" i="5"/>
  <c r="BJ106" i="5"/>
  <c r="BJ107" i="5"/>
  <c r="BI90" i="5"/>
  <c r="BJ108" i="5" l="1"/>
  <c r="BN25" i="36"/>
  <c r="BN103" i="36" s="1"/>
  <c r="BN108" i="36" s="1"/>
  <c r="BN103" i="5"/>
  <c r="BN108" i="5" s="1"/>
  <c r="BL76" i="36"/>
  <c r="BL75" i="36"/>
  <c r="BL74" i="36"/>
  <c r="BL98" i="36"/>
  <c r="BL104" i="2"/>
  <c r="BJ108" i="1"/>
  <c r="BL106" i="2"/>
  <c r="BM20" i="36"/>
  <c r="BM104" i="7"/>
  <c r="BM38" i="36"/>
  <c r="BM103" i="2"/>
  <c r="BM108" i="2" s="1"/>
  <c r="BM14" i="7"/>
  <c r="BM14" i="36" s="1"/>
  <c r="BM32" i="7"/>
  <c r="BM32" i="36" s="1"/>
  <c r="BM28" i="7"/>
  <c r="BM28" i="36" s="1"/>
  <c r="BM17" i="7"/>
  <c r="BM17" i="36" s="1"/>
  <c r="BM13" i="7"/>
  <c r="BM13" i="36" s="1"/>
  <c r="BM5" i="7"/>
  <c r="BM5" i="36" s="1"/>
  <c r="BM29" i="7"/>
  <c r="BM29" i="36" s="1"/>
  <c r="BM10" i="7"/>
  <c r="BM10" i="36" s="1"/>
  <c r="BM31" i="7"/>
  <c r="BM31" i="36" s="1"/>
  <c r="BM27" i="7"/>
  <c r="BM27" i="36" s="1"/>
  <c r="BM16" i="7"/>
  <c r="BM16" i="36" s="1"/>
  <c r="BM12" i="7"/>
  <c r="BM12" i="36" s="1"/>
  <c r="BM8" i="7"/>
  <c r="BM8" i="36" s="1"/>
  <c r="BM4" i="7"/>
  <c r="BM4" i="36" s="1"/>
  <c r="BM33" i="7"/>
  <c r="BM33" i="36" s="1"/>
  <c r="BM25" i="7"/>
  <c r="BM25" i="36" s="1"/>
  <c r="BM6" i="7"/>
  <c r="BM6" i="36" s="1"/>
  <c r="BM30" i="7"/>
  <c r="BM30" i="36" s="1"/>
  <c r="BM26" i="7"/>
  <c r="BM26" i="36" s="1"/>
  <c r="BM15" i="7"/>
  <c r="BM15" i="36" s="1"/>
  <c r="BM11" i="7"/>
  <c r="BM11" i="36" s="1"/>
  <c r="BM7" i="7"/>
  <c r="BM7" i="36" s="1"/>
  <c r="BM3" i="7"/>
  <c r="BM3" i="36" s="1"/>
  <c r="BL104" i="3"/>
  <c r="BM107" i="36"/>
  <c r="BM107" i="1"/>
  <c r="BM103" i="1"/>
  <c r="BM104" i="1"/>
  <c r="BM106" i="1"/>
  <c r="BL104" i="5"/>
  <c r="BM22" i="5"/>
  <c r="BM22" i="36" s="1"/>
  <c r="BM105" i="36"/>
  <c r="BL106" i="5"/>
  <c r="BL104" i="7"/>
  <c r="BL107" i="7"/>
  <c r="BL106" i="7"/>
  <c r="BK103" i="36"/>
  <c r="BL103" i="7"/>
  <c r="BL107" i="2"/>
  <c r="BL104" i="1"/>
  <c r="BL101" i="36"/>
  <c r="BL95" i="36"/>
  <c r="BL91" i="36"/>
  <c r="BL87" i="36"/>
  <c r="BL83" i="36"/>
  <c r="BL79" i="36"/>
  <c r="BL71" i="36"/>
  <c r="BL67" i="36"/>
  <c r="BL61" i="36"/>
  <c r="BL57" i="36"/>
  <c r="BL36" i="36"/>
  <c r="BL30" i="36"/>
  <c r="BL26" i="36"/>
  <c r="BL21" i="36"/>
  <c r="BL17" i="36"/>
  <c r="BL13" i="36"/>
  <c r="BL9" i="36"/>
  <c r="BL5" i="36"/>
  <c r="BK104" i="36"/>
  <c r="BL100" i="36"/>
  <c r="BL94" i="36"/>
  <c r="BL90" i="36"/>
  <c r="BL86" i="36"/>
  <c r="BL82" i="36"/>
  <c r="BL78" i="36"/>
  <c r="BL70" i="36"/>
  <c r="BL66" i="36"/>
  <c r="BL60" i="36"/>
  <c r="BL56" i="36"/>
  <c r="BL33" i="36"/>
  <c r="BL29" i="36"/>
  <c r="BL25" i="36"/>
  <c r="BL20" i="36"/>
  <c r="BL16" i="36"/>
  <c r="BL12" i="36"/>
  <c r="BL8" i="36"/>
  <c r="BL4" i="36"/>
  <c r="BK106" i="36"/>
  <c r="BL93" i="36"/>
  <c r="BL89" i="36"/>
  <c r="BL85" i="36"/>
  <c r="BL81" i="36"/>
  <c r="BL77" i="36"/>
  <c r="BL73" i="36"/>
  <c r="BL69" i="36"/>
  <c r="BL65" i="36"/>
  <c r="BL59" i="36"/>
  <c r="BL32" i="36"/>
  <c r="BL28" i="36"/>
  <c r="BL24" i="36"/>
  <c r="BL19" i="36"/>
  <c r="BL15" i="36"/>
  <c r="BL11" i="36"/>
  <c r="BL7" i="36"/>
  <c r="BL3" i="36"/>
  <c r="BK107" i="36"/>
  <c r="BL105" i="36"/>
  <c r="BL107" i="1"/>
  <c r="BL106" i="1"/>
  <c r="BL2" i="36"/>
  <c r="BL96" i="36"/>
  <c r="BL92" i="36"/>
  <c r="BL88" i="36"/>
  <c r="BL84" i="36"/>
  <c r="BL80" i="36"/>
  <c r="BL72" i="36"/>
  <c r="BL68" i="36"/>
  <c r="BL64" i="36"/>
  <c r="BL58" i="36"/>
  <c r="BL37" i="36"/>
  <c r="BL31" i="36"/>
  <c r="BL27" i="36"/>
  <c r="BL22" i="36"/>
  <c r="BL18" i="36"/>
  <c r="BL14" i="36"/>
  <c r="BL10" i="36"/>
  <c r="BK105" i="36"/>
  <c r="BL103" i="3"/>
  <c r="BL38" i="36"/>
  <c r="BL6" i="36"/>
  <c r="BL107" i="3"/>
  <c r="BL106" i="3"/>
  <c r="BL105" i="5"/>
  <c r="BL103" i="5"/>
  <c r="BL105" i="3"/>
  <c r="BL103" i="2"/>
  <c r="BL103" i="1"/>
  <c r="BK108" i="5"/>
  <c r="BK108" i="7"/>
  <c r="BK108" i="3"/>
  <c r="BK108" i="2"/>
  <c r="BK108" i="1"/>
  <c r="BI93" i="2"/>
  <c r="BI39" i="7"/>
  <c r="BI104" i="7" s="1"/>
  <c r="BI3" i="36"/>
  <c r="BI4" i="36"/>
  <c r="BI5" i="36"/>
  <c r="BI6" i="36"/>
  <c r="BI7" i="36"/>
  <c r="BI8" i="36"/>
  <c r="BI9" i="36"/>
  <c r="BI10" i="36"/>
  <c r="BI11" i="36"/>
  <c r="BI12" i="36"/>
  <c r="BI13" i="36"/>
  <c r="BI14" i="36"/>
  <c r="BI15" i="36"/>
  <c r="BI16" i="36"/>
  <c r="BI17" i="36"/>
  <c r="BI18" i="36"/>
  <c r="BI19" i="36"/>
  <c r="BI20" i="36"/>
  <c r="BI21" i="36"/>
  <c r="BI22" i="36"/>
  <c r="BI24" i="36"/>
  <c r="BI25" i="36"/>
  <c r="BI26" i="36"/>
  <c r="BI27" i="36"/>
  <c r="BI28" i="36"/>
  <c r="BI29" i="36"/>
  <c r="BI30" i="36"/>
  <c r="BI31" i="36"/>
  <c r="BI32" i="36"/>
  <c r="BI33" i="36"/>
  <c r="BI35" i="36"/>
  <c r="BI36" i="36"/>
  <c r="BI37" i="36"/>
  <c r="BI38" i="36"/>
  <c r="BI40" i="36"/>
  <c r="BI41" i="36"/>
  <c r="BI42" i="36"/>
  <c r="BI43" i="36"/>
  <c r="BI45" i="36"/>
  <c r="BI46" i="36"/>
  <c r="BI47" i="36"/>
  <c r="BI48" i="36"/>
  <c r="BI49" i="36"/>
  <c r="BI50" i="36"/>
  <c r="BI51" i="36"/>
  <c r="BI52" i="36"/>
  <c r="BI53" i="36"/>
  <c r="BI54" i="36"/>
  <c r="BI55" i="36"/>
  <c r="BI56" i="36"/>
  <c r="BI57" i="36"/>
  <c r="BI58" i="36"/>
  <c r="BI59" i="36"/>
  <c r="BI60" i="36"/>
  <c r="BI61" i="36"/>
  <c r="BI64" i="36"/>
  <c r="BI65" i="36"/>
  <c r="BI66" i="36"/>
  <c r="BI67" i="36"/>
  <c r="BI68" i="36"/>
  <c r="BI70" i="36"/>
  <c r="BI71" i="36"/>
  <c r="BI73" i="36"/>
  <c r="BI74" i="36"/>
  <c r="BI75" i="36"/>
  <c r="BI76" i="36"/>
  <c r="BI77" i="36"/>
  <c r="BI78" i="36"/>
  <c r="BI79" i="36"/>
  <c r="BI80" i="36"/>
  <c r="BI81" i="36"/>
  <c r="BI82" i="36"/>
  <c r="BI83" i="36"/>
  <c r="BI84" i="36"/>
  <c r="BI85" i="36"/>
  <c r="BI86" i="36"/>
  <c r="BI87" i="36"/>
  <c r="BI88" i="36"/>
  <c r="BI89" i="36"/>
  <c r="BI90" i="36"/>
  <c r="BI91" i="36"/>
  <c r="BI92" i="36"/>
  <c r="BI93" i="36"/>
  <c r="BI94" i="36"/>
  <c r="BI95" i="36"/>
  <c r="BI96" i="36"/>
  <c r="BI98" i="36"/>
  <c r="BI100" i="36"/>
  <c r="BI101" i="36"/>
  <c r="BI2" i="36"/>
  <c r="BI107" i="2"/>
  <c r="BJ107" i="2"/>
  <c r="BI106" i="2"/>
  <c r="BI105" i="2"/>
  <c r="BI104" i="2"/>
  <c r="BJ104" i="2"/>
  <c r="BI103" i="2"/>
  <c r="BJ103" i="2"/>
  <c r="BI107" i="3"/>
  <c r="BI106" i="3"/>
  <c r="BJ106" i="3"/>
  <c r="BI105" i="3"/>
  <c r="BJ105" i="3"/>
  <c r="BI104" i="3"/>
  <c r="BI103" i="3"/>
  <c r="BI107" i="7"/>
  <c r="BI106" i="7"/>
  <c r="BI105" i="7"/>
  <c r="BI103" i="7"/>
  <c r="BJ103" i="7"/>
  <c r="BI107" i="1"/>
  <c r="BI106" i="1"/>
  <c r="BI105" i="1"/>
  <c r="BI104" i="1"/>
  <c r="BI103" i="1"/>
  <c r="BI103" i="5"/>
  <c r="BI72" i="5"/>
  <c r="BI69" i="5"/>
  <c r="BI69" i="36" s="1"/>
  <c r="BI44" i="5"/>
  <c r="BI44" i="36" s="1"/>
  <c r="AF35" i="32"/>
  <c r="BJ104" i="7"/>
  <c r="BJ105" i="7"/>
  <c r="BJ106" i="7"/>
  <c r="BJ107" i="7"/>
  <c r="BJ103" i="3"/>
  <c r="BJ104" i="3"/>
  <c r="BJ107" i="3"/>
  <c r="BJ105" i="2"/>
  <c r="BJ106" i="2"/>
  <c r="BJ37" i="36"/>
  <c r="BJ3" i="36"/>
  <c r="BJ4" i="36"/>
  <c r="BJ5" i="36"/>
  <c r="BJ6" i="36"/>
  <c r="BJ7" i="36"/>
  <c r="BJ8" i="36"/>
  <c r="BJ9" i="36"/>
  <c r="BJ10" i="36"/>
  <c r="BJ11" i="36"/>
  <c r="BJ12" i="36"/>
  <c r="BJ13" i="36"/>
  <c r="BJ14" i="36"/>
  <c r="BJ15" i="36"/>
  <c r="BJ16" i="36"/>
  <c r="BJ17" i="36"/>
  <c r="BJ18" i="36"/>
  <c r="BJ19" i="36"/>
  <c r="BJ20" i="36"/>
  <c r="BJ22" i="36"/>
  <c r="BJ24" i="36"/>
  <c r="BJ25" i="36"/>
  <c r="BJ26" i="36"/>
  <c r="BJ27" i="36"/>
  <c r="BJ28" i="36"/>
  <c r="BJ29" i="36"/>
  <c r="BJ30" i="36"/>
  <c r="BJ31" i="36"/>
  <c r="BJ32" i="36"/>
  <c r="BJ33" i="36"/>
  <c r="BJ35" i="36"/>
  <c r="BJ36" i="36"/>
  <c r="BJ38" i="36"/>
  <c r="BJ39" i="36"/>
  <c r="BJ40" i="36"/>
  <c r="BJ41" i="36"/>
  <c r="BJ42" i="36"/>
  <c r="BJ44" i="36"/>
  <c r="BJ45" i="36"/>
  <c r="BJ46" i="36"/>
  <c r="BJ47" i="36"/>
  <c r="BJ48" i="36"/>
  <c r="BJ49" i="36"/>
  <c r="BJ50" i="36"/>
  <c r="BJ51" i="36"/>
  <c r="BJ52" i="36"/>
  <c r="BJ53" i="36"/>
  <c r="BJ54" i="36"/>
  <c r="BJ55" i="36"/>
  <c r="BJ56" i="36"/>
  <c r="BJ57" i="36"/>
  <c r="BJ58" i="36"/>
  <c r="BJ59" i="36"/>
  <c r="BJ60" i="36"/>
  <c r="BJ61" i="36"/>
  <c r="BJ64" i="36"/>
  <c r="BJ65" i="36"/>
  <c r="BJ66" i="36"/>
  <c r="BJ67" i="36"/>
  <c r="BJ68" i="36"/>
  <c r="BJ69" i="36"/>
  <c r="BJ70" i="36"/>
  <c r="BJ71" i="36"/>
  <c r="BJ72" i="36"/>
  <c r="BJ73" i="36"/>
  <c r="BJ74" i="36"/>
  <c r="BJ75" i="36"/>
  <c r="BJ76" i="36"/>
  <c r="BJ77" i="36"/>
  <c r="BJ78" i="36"/>
  <c r="BJ79" i="36"/>
  <c r="BJ80" i="36"/>
  <c r="BJ81" i="36"/>
  <c r="BJ82" i="36"/>
  <c r="BJ83" i="36"/>
  <c r="BJ84" i="36"/>
  <c r="BJ85" i="36"/>
  <c r="BJ86" i="36"/>
  <c r="BJ87" i="36"/>
  <c r="BJ88" i="36"/>
  <c r="BJ89" i="36"/>
  <c r="BJ90" i="36"/>
  <c r="BJ91" i="36"/>
  <c r="BJ92" i="36"/>
  <c r="BJ93" i="36"/>
  <c r="BJ94" i="36"/>
  <c r="BJ95" i="36"/>
  <c r="BJ96" i="36"/>
  <c r="BJ98" i="36"/>
  <c r="BJ100" i="36"/>
  <c r="BJ101" i="36"/>
  <c r="AE23" i="32"/>
  <c r="AE26" i="32"/>
  <c r="AE15" i="32"/>
  <c r="AE6" i="32"/>
  <c r="AD35" i="32"/>
  <c r="AC35" i="32"/>
  <c r="AB35" i="32"/>
  <c r="BH39" i="5"/>
  <c r="BH44" i="5"/>
  <c r="BH57" i="3"/>
  <c r="AA27" i="32"/>
  <c r="AA13" i="32"/>
  <c r="BH39" i="3"/>
  <c r="BH39" i="2"/>
  <c r="BG92" i="7"/>
  <c r="BG93" i="7"/>
  <c r="AA2" i="32"/>
  <c r="BL108" i="7" l="1"/>
  <c r="BL108" i="2"/>
  <c r="BJ108" i="3"/>
  <c r="BM108" i="1"/>
  <c r="BM103" i="7"/>
  <c r="BM108" i="7" s="1"/>
  <c r="AE35" i="32"/>
  <c r="AD36" i="32"/>
  <c r="BJ108" i="7"/>
  <c r="BL108" i="3"/>
  <c r="BL108" i="5"/>
  <c r="BI105" i="5"/>
  <c r="BI106" i="5"/>
  <c r="BI72" i="36"/>
  <c r="BI106" i="36" s="1"/>
  <c r="BK108" i="36"/>
  <c r="BI39" i="36"/>
  <c r="BL106" i="36"/>
  <c r="BL107" i="36"/>
  <c r="BI108" i="7"/>
  <c r="BL104" i="36"/>
  <c r="BJ103" i="36"/>
  <c r="BL103" i="36"/>
  <c r="BI108" i="1"/>
  <c r="BL108" i="1"/>
  <c r="BJ106" i="36"/>
  <c r="BJ105" i="36"/>
  <c r="BJ107" i="36"/>
  <c r="BJ104" i="36"/>
  <c r="BI108" i="2"/>
  <c r="BI108" i="3"/>
  <c r="BI107" i="36"/>
  <c r="BI105" i="36"/>
  <c r="BI103" i="36"/>
  <c r="BI107" i="5"/>
  <c r="BI104" i="5"/>
  <c r="BI108" i="5" s="1"/>
  <c r="BJ108" i="2"/>
  <c r="AE77" i="35"/>
  <c r="BJ108" i="36" l="1"/>
  <c r="BI104" i="36"/>
  <c r="BI108" i="36" s="1"/>
  <c r="BL108" i="36"/>
  <c r="BH61" i="5"/>
  <c r="BH57" i="5"/>
  <c r="BH57" i="7" l="1"/>
  <c r="BH58" i="7"/>
  <c r="BH59" i="7"/>
  <c r="BH60" i="7"/>
  <c r="BH61" i="7"/>
  <c r="BH64" i="7"/>
  <c r="BH65" i="7"/>
  <c r="BH66" i="7"/>
  <c r="BH67" i="7"/>
  <c r="BH68" i="7"/>
  <c r="BH69" i="7"/>
  <c r="BH70" i="7"/>
  <c r="BH71" i="7"/>
  <c r="BH72" i="7"/>
  <c r="BH73" i="7"/>
  <c r="BH74" i="7"/>
  <c r="BH75" i="7"/>
  <c r="BH76" i="7"/>
  <c r="BH77" i="7"/>
  <c r="BH78" i="7"/>
  <c r="BH79" i="7"/>
  <c r="BH80" i="7"/>
  <c r="BH81" i="7"/>
  <c r="BH82" i="7"/>
  <c r="BH83" i="7"/>
  <c r="BH84" i="7"/>
  <c r="BH85" i="7"/>
  <c r="BH86" i="7"/>
  <c r="BH87" i="7"/>
  <c r="BH88" i="7"/>
  <c r="BH89" i="7"/>
  <c r="BH56" i="7"/>
  <c r="BB101" i="5"/>
  <c r="BC101" i="5"/>
  <c r="BD101" i="5"/>
  <c r="BE101" i="5"/>
  <c r="BF101" i="5"/>
  <c r="BH101" i="5"/>
  <c r="BH58" i="5" l="1"/>
  <c r="BH59" i="5"/>
  <c r="BH60" i="5"/>
  <c r="BH64" i="5"/>
  <c r="BH65" i="5"/>
  <c r="BH66" i="5"/>
  <c r="BH67" i="5"/>
  <c r="BH68" i="5"/>
  <c r="BH69" i="5"/>
  <c r="BH70" i="5"/>
  <c r="BH71" i="5"/>
  <c r="BH72" i="5"/>
  <c r="BH73" i="5"/>
  <c r="BH74" i="5"/>
  <c r="BH75" i="5"/>
  <c r="BH76" i="5"/>
  <c r="BH77" i="5"/>
  <c r="BH78" i="5"/>
  <c r="BH79" i="5"/>
  <c r="BH80" i="5"/>
  <c r="BH84" i="5"/>
  <c r="BH85" i="5"/>
  <c r="BH86" i="5"/>
  <c r="BH89" i="5"/>
  <c r="BH56" i="5"/>
  <c r="AA35" i="32" l="1"/>
  <c r="BH103" i="1"/>
  <c r="BH104" i="1"/>
  <c r="BH105" i="1"/>
  <c r="BH106" i="1"/>
  <c r="BH107" i="1"/>
  <c r="AE48" i="35"/>
  <c r="BH103" i="2"/>
  <c r="BH106" i="2"/>
  <c r="BH107" i="2"/>
  <c r="BH55" i="2"/>
  <c r="BH54" i="2"/>
  <c r="BH53" i="2"/>
  <c r="BH43" i="2"/>
  <c r="BH42" i="2"/>
  <c r="BH104" i="2" l="1"/>
  <c r="BH108" i="2" s="1"/>
  <c r="BH105" i="2"/>
  <c r="BH108" i="1"/>
  <c r="BH104" i="3" l="1"/>
  <c r="BH105" i="3"/>
  <c r="BH106" i="3"/>
  <c r="BH107" i="3"/>
  <c r="BH32" i="3"/>
  <c r="BH33" i="3"/>
  <c r="BH36" i="3"/>
  <c r="BH19" i="3"/>
  <c r="BH20" i="3"/>
  <c r="BH21" i="3"/>
  <c r="BH22" i="3"/>
  <c r="BH24" i="3"/>
  <c r="BH25" i="3"/>
  <c r="BH26" i="3"/>
  <c r="BH27" i="3"/>
  <c r="BH28" i="3"/>
  <c r="BH29" i="3"/>
  <c r="BH30" i="3"/>
  <c r="BH31" i="3"/>
  <c r="BH18" i="3"/>
  <c r="BH87" i="36"/>
  <c r="BH60" i="36"/>
  <c r="BH66" i="36"/>
  <c r="BH70" i="36"/>
  <c r="BH74" i="36"/>
  <c r="BH78" i="36"/>
  <c r="BH3" i="36"/>
  <c r="BH4" i="36"/>
  <c r="BH5" i="36"/>
  <c r="BH6" i="36"/>
  <c r="BH7" i="36"/>
  <c r="BH8" i="36"/>
  <c r="BH9" i="36"/>
  <c r="BH10" i="36"/>
  <c r="BH11" i="36"/>
  <c r="BH12" i="36"/>
  <c r="BH13" i="36"/>
  <c r="BH14" i="36"/>
  <c r="BH15" i="36"/>
  <c r="BH16" i="36"/>
  <c r="BH17" i="36"/>
  <c r="BH35" i="36"/>
  <c r="BH37" i="36"/>
  <c r="BH39" i="36"/>
  <c r="BH40" i="36"/>
  <c r="BH41" i="36"/>
  <c r="BH42" i="36"/>
  <c r="BH43" i="36"/>
  <c r="BH44" i="36"/>
  <c r="BH45" i="36"/>
  <c r="BH46" i="36"/>
  <c r="BH47" i="36"/>
  <c r="BH48" i="36"/>
  <c r="BH49" i="36"/>
  <c r="BH50" i="36"/>
  <c r="BH51" i="36"/>
  <c r="BH52" i="36"/>
  <c r="BH53" i="36"/>
  <c r="BH54" i="36"/>
  <c r="BH55" i="36"/>
  <c r="BH56" i="36"/>
  <c r="BH57" i="36"/>
  <c r="BH58" i="36"/>
  <c r="BH59" i="36"/>
  <c r="BH61" i="36"/>
  <c r="BH64" i="36"/>
  <c r="BH65" i="36"/>
  <c r="BH67" i="36"/>
  <c r="BH68" i="36"/>
  <c r="BH69" i="36"/>
  <c r="BH71" i="36"/>
  <c r="BH72" i="36"/>
  <c r="BH73" i="36"/>
  <c r="BH75" i="36"/>
  <c r="BH76" i="36"/>
  <c r="BH77" i="36"/>
  <c r="BH79" i="36"/>
  <c r="BH80" i="36"/>
  <c r="BH81" i="36"/>
  <c r="BH82" i="36"/>
  <c r="BH83" i="36"/>
  <c r="BH84" i="36"/>
  <c r="BH85" i="36"/>
  <c r="BH86" i="36"/>
  <c r="BH88" i="36"/>
  <c r="BH89" i="36"/>
  <c r="BH93" i="36"/>
  <c r="BH2" i="36"/>
  <c r="BH91" i="36"/>
  <c r="BH92" i="36"/>
  <c r="BH94" i="36"/>
  <c r="BH95" i="36"/>
  <c r="BH96" i="36"/>
  <c r="BH98" i="36"/>
  <c r="BH100" i="36"/>
  <c r="BH101" i="36"/>
  <c r="BH19" i="7"/>
  <c r="BH20" i="7"/>
  <c r="BH21" i="7"/>
  <c r="BH22" i="7"/>
  <c r="BH24" i="7"/>
  <c r="BH25" i="7"/>
  <c r="BH26" i="7"/>
  <c r="BH27" i="7"/>
  <c r="BH28" i="7"/>
  <c r="BH29" i="7"/>
  <c r="BH30" i="7"/>
  <c r="BH31" i="7"/>
  <c r="BH32" i="7"/>
  <c r="BH32" i="36" s="1"/>
  <c r="BH33" i="7"/>
  <c r="BH36" i="7"/>
  <c r="BH18" i="7"/>
  <c r="BH105" i="7"/>
  <c r="BH29" i="36" l="1"/>
  <c r="BH25" i="36"/>
  <c r="BH20" i="36"/>
  <c r="BH30" i="36"/>
  <c r="BH26" i="36"/>
  <c r="BH21" i="36"/>
  <c r="BH28" i="36"/>
  <c r="BH19" i="36"/>
  <c r="BH22" i="36"/>
  <c r="BH24" i="36"/>
  <c r="BH31" i="36"/>
  <c r="BH36" i="36"/>
  <c r="BH27" i="36"/>
  <c r="BH107" i="7"/>
  <c r="BH33" i="36"/>
  <c r="BH18" i="36"/>
  <c r="BH103" i="3"/>
  <c r="BH108" i="3" s="1"/>
  <c r="BH105" i="36"/>
  <c r="BH106" i="36"/>
  <c r="BH106" i="7"/>
  <c r="BH103" i="7"/>
  <c r="BH103" i="36" l="1"/>
  <c r="BH38" i="7"/>
  <c r="U3" i="37"/>
  <c r="U19" i="37" s="1"/>
  <c r="BH38" i="36" l="1"/>
  <c r="BH104" i="7"/>
  <c r="BH108" i="7" s="1"/>
  <c r="BH106" i="5"/>
  <c r="BH105" i="5"/>
  <c r="BH103" i="5"/>
  <c r="AA29" i="33"/>
  <c r="BG40" i="5" l="1"/>
  <c r="BG41" i="5"/>
  <c r="BG42" i="5"/>
  <c r="BG43" i="5"/>
  <c r="BG44" i="5"/>
  <c r="BG45" i="5"/>
  <c r="BG46" i="5"/>
  <c r="BG47" i="5"/>
  <c r="BG48" i="5"/>
  <c r="BG49" i="5"/>
  <c r="BG50" i="5"/>
  <c r="BG51" i="5"/>
  <c r="BG52" i="5"/>
  <c r="BG53" i="5"/>
  <c r="BG54" i="5"/>
  <c r="BG55" i="5"/>
  <c r="BG39" i="5"/>
  <c r="BG3" i="5"/>
  <c r="BG3" i="36" s="1"/>
  <c r="BG4" i="5"/>
  <c r="BG4" i="36" s="1"/>
  <c r="BG5" i="5"/>
  <c r="BG5" i="36" s="1"/>
  <c r="BG6" i="5"/>
  <c r="BG6" i="36" s="1"/>
  <c r="BG7" i="5"/>
  <c r="BG7" i="36" s="1"/>
  <c r="BG8" i="5"/>
  <c r="BG8" i="36" s="1"/>
  <c r="BG9" i="5"/>
  <c r="BG9" i="36" s="1"/>
  <c r="BG10" i="5"/>
  <c r="BG10" i="36" s="1"/>
  <c r="BG11" i="5"/>
  <c r="BG11" i="36" s="1"/>
  <c r="BG12" i="5"/>
  <c r="BG12" i="36" s="1"/>
  <c r="BG13" i="5"/>
  <c r="BG13" i="36" s="1"/>
  <c r="BG14" i="5"/>
  <c r="BG14" i="36" s="1"/>
  <c r="BG15" i="5"/>
  <c r="BG15" i="36" s="1"/>
  <c r="BG16" i="5"/>
  <c r="BG16" i="36" s="1"/>
  <c r="BG17" i="5"/>
  <c r="BG17" i="36" s="1"/>
  <c r="BG18" i="5"/>
  <c r="BG19" i="5"/>
  <c r="BG20" i="5"/>
  <c r="BG21" i="5"/>
  <c r="BG22" i="5"/>
  <c r="BG24" i="5"/>
  <c r="BG25" i="5"/>
  <c r="BG26" i="5"/>
  <c r="BG27" i="5"/>
  <c r="BG28" i="5"/>
  <c r="BG29" i="5"/>
  <c r="BG30" i="5"/>
  <c r="BG31" i="5"/>
  <c r="BG32" i="5"/>
  <c r="BG33" i="5"/>
  <c r="BG35" i="5"/>
  <c r="BG36" i="5"/>
  <c r="BG37" i="5"/>
  <c r="BG38" i="5"/>
  <c r="BG56" i="5"/>
  <c r="BG57" i="5"/>
  <c r="BG58" i="5"/>
  <c r="BG59" i="5"/>
  <c r="BG60" i="5"/>
  <c r="BG61" i="5"/>
  <c r="BG64" i="5"/>
  <c r="BG65" i="5"/>
  <c r="BG66" i="5"/>
  <c r="BG67" i="5"/>
  <c r="BG68" i="5"/>
  <c r="BG69" i="5"/>
  <c r="BG70" i="5"/>
  <c r="BG71" i="5"/>
  <c r="BG72" i="5"/>
  <c r="BG73" i="5"/>
  <c r="BG74" i="5"/>
  <c r="BG75" i="5"/>
  <c r="BG76" i="5"/>
  <c r="BG77" i="5"/>
  <c r="BG78" i="5"/>
  <c r="BG79" i="5"/>
  <c r="BG80" i="5"/>
  <c r="BG81" i="5"/>
  <c r="BG82" i="5"/>
  <c r="BG83" i="5"/>
  <c r="BG84" i="5"/>
  <c r="BG85" i="5"/>
  <c r="BG86" i="5"/>
  <c r="BG87" i="5"/>
  <c r="BG88" i="5"/>
  <c r="BG89" i="5"/>
  <c r="BG90" i="5"/>
  <c r="BG91" i="5"/>
  <c r="BG92" i="5"/>
  <c r="BG93" i="5"/>
  <c r="BG94" i="5"/>
  <c r="BG95" i="5"/>
  <c r="BG96" i="5"/>
  <c r="BG98" i="5"/>
  <c r="BG100" i="5"/>
  <c r="BG2" i="5"/>
  <c r="BG2" i="36" s="1"/>
  <c r="BG40" i="7"/>
  <c r="BG41" i="7"/>
  <c r="BG42" i="7"/>
  <c r="BG43" i="7"/>
  <c r="BG44" i="7"/>
  <c r="BG45" i="7"/>
  <c r="BG46" i="7"/>
  <c r="BG47" i="7"/>
  <c r="BG48" i="7"/>
  <c r="BG49" i="7"/>
  <c r="BG50" i="7"/>
  <c r="BG51" i="7"/>
  <c r="BG52" i="7"/>
  <c r="BG53" i="7"/>
  <c r="BG54" i="7"/>
  <c r="BG55" i="7"/>
  <c r="BG39" i="7"/>
  <c r="BG19" i="7"/>
  <c r="BG20" i="7"/>
  <c r="BG21" i="7"/>
  <c r="BG22" i="7"/>
  <c r="BG24" i="7"/>
  <c r="BG25" i="7"/>
  <c r="BG26" i="7"/>
  <c r="BG27" i="7"/>
  <c r="BG28" i="7"/>
  <c r="BG29" i="7"/>
  <c r="BG30" i="7"/>
  <c r="BG31" i="7"/>
  <c r="BG32" i="7"/>
  <c r="BG33" i="7"/>
  <c r="BG35" i="7"/>
  <c r="BG36" i="7"/>
  <c r="BG37" i="7"/>
  <c r="BG38" i="7"/>
  <c r="BG56" i="7"/>
  <c r="BG57" i="7"/>
  <c r="BG58" i="7"/>
  <c r="BG59" i="7"/>
  <c r="BG60" i="7"/>
  <c r="BG61" i="7"/>
  <c r="BG64" i="7"/>
  <c r="BG65" i="7"/>
  <c r="BG66" i="7"/>
  <c r="BG67" i="7"/>
  <c r="BG68" i="7"/>
  <c r="BG69" i="7"/>
  <c r="BG70" i="7"/>
  <c r="BG71" i="7"/>
  <c r="BG72" i="7"/>
  <c r="BG73" i="7"/>
  <c r="BG74" i="7"/>
  <c r="BG75" i="7"/>
  <c r="BG76" i="7"/>
  <c r="BG77" i="7"/>
  <c r="BG78" i="7"/>
  <c r="BG79" i="7"/>
  <c r="BG80" i="7"/>
  <c r="BG81" i="7"/>
  <c r="BG82" i="7"/>
  <c r="BG83" i="7"/>
  <c r="BG84" i="7"/>
  <c r="BG85" i="7"/>
  <c r="BG86" i="7"/>
  <c r="BG87" i="7"/>
  <c r="BG88" i="7"/>
  <c r="BG89" i="7"/>
  <c r="BG90" i="7"/>
  <c r="BG91" i="7"/>
  <c r="BG94" i="7"/>
  <c r="BG95" i="7"/>
  <c r="BG96" i="7"/>
  <c r="BG98" i="7"/>
  <c r="BG100" i="7"/>
  <c r="BG101" i="7"/>
  <c r="BG18" i="7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39" i="3"/>
  <c r="BG19" i="3"/>
  <c r="BG20" i="3"/>
  <c r="BG21" i="3"/>
  <c r="BG22" i="3"/>
  <c r="BG24" i="3"/>
  <c r="BG25" i="3"/>
  <c r="BG26" i="3"/>
  <c r="BG27" i="3"/>
  <c r="BG28" i="3"/>
  <c r="BG29" i="3"/>
  <c r="BG30" i="3"/>
  <c r="BG31" i="3"/>
  <c r="BG32" i="3"/>
  <c r="BG33" i="3"/>
  <c r="BG35" i="3"/>
  <c r="BG36" i="3"/>
  <c r="BG37" i="3"/>
  <c r="BG38" i="3"/>
  <c r="BG56" i="3"/>
  <c r="BG57" i="3"/>
  <c r="BG58" i="3"/>
  <c r="BG59" i="3"/>
  <c r="BG60" i="3"/>
  <c r="BG66" i="3"/>
  <c r="BG67" i="3"/>
  <c r="BG68" i="3"/>
  <c r="BG69" i="3"/>
  <c r="BG70" i="3"/>
  <c r="BG71" i="3"/>
  <c r="BG72" i="3"/>
  <c r="BG73" i="3"/>
  <c r="BG74" i="3"/>
  <c r="BG75" i="3"/>
  <c r="BG76" i="3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8" i="3"/>
  <c r="BG100" i="3"/>
  <c r="BG101" i="3"/>
  <c r="BG18" i="3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39" i="2"/>
  <c r="BG56" i="2"/>
  <c r="BG57" i="2"/>
  <c r="BG58" i="2"/>
  <c r="BG59" i="2"/>
  <c r="BG60" i="2"/>
  <c r="BG61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8" i="2"/>
  <c r="BG89" i="2"/>
  <c r="BG90" i="2"/>
  <c r="BG91" i="2"/>
  <c r="BG92" i="2"/>
  <c r="BG93" i="2"/>
  <c r="BG94" i="2"/>
  <c r="BG95" i="2"/>
  <c r="BG96" i="2"/>
  <c r="BG98" i="2"/>
  <c r="BG100" i="2"/>
  <c r="BG101" i="2"/>
  <c r="BG19" i="2"/>
  <c r="BG20" i="2"/>
  <c r="BG21" i="2"/>
  <c r="BG22" i="2"/>
  <c r="BG24" i="2"/>
  <c r="BG25" i="2"/>
  <c r="BG27" i="2"/>
  <c r="BG28" i="2"/>
  <c r="BG29" i="2"/>
  <c r="BG30" i="2"/>
  <c r="BG31" i="2"/>
  <c r="BG32" i="2"/>
  <c r="BG33" i="2"/>
  <c r="BG35" i="2"/>
  <c r="BG36" i="2"/>
  <c r="BG37" i="2"/>
  <c r="BG38" i="2"/>
  <c r="BG18" i="2"/>
  <c r="BG57" i="1"/>
  <c r="BG58" i="1"/>
  <c r="BG59" i="1"/>
  <c r="BG60" i="1"/>
  <c r="BG61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8" i="1"/>
  <c r="BG100" i="1"/>
  <c r="BG101" i="1"/>
  <c r="BG56" i="1"/>
  <c r="BG40" i="1"/>
  <c r="BG41" i="1"/>
  <c r="BG41" i="36" s="1"/>
  <c r="BG42" i="1"/>
  <c r="BG43" i="1"/>
  <c r="BG44" i="1"/>
  <c r="BG45" i="1"/>
  <c r="BG45" i="36" s="1"/>
  <c r="BG46" i="1"/>
  <c r="BG47" i="1"/>
  <c r="BG48" i="1"/>
  <c r="BG49" i="1"/>
  <c r="BG49" i="36" s="1"/>
  <c r="BG50" i="1"/>
  <c r="BG51" i="1"/>
  <c r="BG52" i="1"/>
  <c r="BG53" i="1"/>
  <c r="BG53" i="36" s="1"/>
  <c r="BG54" i="1"/>
  <c r="BG55" i="1"/>
  <c r="BG39" i="1"/>
  <c r="BG19" i="1"/>
  <c r="BG20" i="1"/>
  <c r="BG21" i="1"/>
  <c r="BG22" i="1"/>
  <c r="BG24" i="1"/>
  <c r="BG25" i="1"/>
  <c r="BG26" i="1"/>
  <c r="BG27" i="1"/>
  <c r="BG28" i="1"/>
  <c r="BG28" i="36" s="1"/>
  <c r="BG29" i="1"/>
  <c r="BG30" i="1"/>
  <c r="BG31" i="1"/>
  <c r="BG32" i="1"/>
  <c r="BG32" i="36" s="1"/>
  <c r="BG33" i="1"/>
  <c r="BG35" i="1"/>
  <c r="BG36" i="1"/>
  <c r="BG37" i="1"/>
  <c r="BG101" i="5" s="1"/>
  <c r="BG18" i="1"/>
  <c r="BE40" i="36"/>
  <c r="BD40" i="36"/>
  <c r="BC40" i="36"/>
  <c r="BB40" i="36"/>
  <c r="BF3" i="36"/>
  <c r="BF4" i="36"/>
  <c r="BF5" i="36"/>
  <c r="BF6" i="36"/>
  <c r="BF7" i="36"/>
  <c r="BF8" i="36"/>
  <c r="BF9" i="36"/>
  <c r="BF10" i="36"/>
  <c r="BF11" i="36"/>
  <c r="BF12" i="36"/>
  <c r="BF13" i="36"/>
  <c r="BF14" i="36"/>
  <c r="BF15" i="36"/>
  <c r="BF16" i="36"/>
  <c r="BF17" i="36"/>
  <c r="BF18" i="36"/>
  <c r="BF19" i="36"/>
  <c r="BF20" i="36"/>
  <c r="BF21" i="36"/>
  <c r="BF22" i="36"/>
  <c r="BF24" i="36"/>
  <c r="BF25" i="36"/>
  <c r="BF26" i="36"/>
  <c r="BF27" i="36"/>
  <c r="BF28" i="36"/>
  <c r="BF29" i="36"/>
  <c r="BF30" i="36"/>
  <c r="BF31" i="36"/>
  <c r="BF32" i="36"/>
  <c r="BF33" i="36"/>
  <c r="BF35" i="36"/>
  <c r="BF36" i="36"/>
  <c r="BF37" i="36"/>
  <c r="BF38" i="36"/>
  <c r="BF39" i="36"/>
  <c r="BF40" i="36"/>
  <c r="BF41" i="36"/>
  <c r="BF42" i="36"/>
  <c r="BF43" i="36"/>
  <c r="BF44" i="36"/>
  <c r="BF45" i="36"/>
  <c r="BF46" i="36"/>
  <c r="BF47" i="36"/>
  <c r="BF48" i="36"/>
  <c r="BF49" i="36"/>
  <c r="BF50" i="36"/>
  <c r="BF51" i="36"/>
  <c r="BF52" i="36"/>
  <c r="BF53" i="36"/>
  <c r="BF54" i="36"/>
  <c r="BF55" i="36"/>
  <c r="BF56" i="36"/>
  <c r="BF57" i="36"/>
  <c r="BF58" i="36"/>
  <c r="BF59" i="36"/>
  <c r="BF60" i="36"/>
  <c r="BF61" i="36"/>
  <c r="BF64" i="36"/>
  <c r="BF65" i="36"/>
  <c r="BF66" i="36"/>
  <c r="BF67" i="36"/>
  <c r="BF68" i="36"/>
  <c r="BF69" i="36"/>
  <c r="BF70" i="36"/>
  <c r="BF71" i="36"/>
  <c r="BF72" i="36"/>
  <c r="BF73" i="36"/>
  <c r="BF74" i="36"/>
  <c r="BF75" i="36"/>
  <c r="BF76" i="36"/>
  <c r="BF77" i="36"/>
  <c r="BF78" i="36"/>
  <c r="BF79" i="36"/>
  <c r="BF80" i="36"/>
  <c r="BF81" i="36"/>
  <c r="BF82" i="36"/>
  <c r="BF83" i="36"/>
  <c r="BF84" i="36"/>
  <c r="BF85" i="36"/>
  <c r="BF86" i="36"/>
  <c r="BF87" i="36"/>
  <c r="BF88" i="36"/>
  <c r="BF89" i="36"/>
  <c r="BF90" i="36"/>
  <c r="BF91" i="36"/>
  <c r="BF92" i="36"/>
  <c r="BF93" i="36"/>
  <c r="BF94" i="36"/>
  <c r="BF95" i="36"/>
  <c r="BF96" i="36"/>
  <c r="BF98" i="36"/>
  <c r="BF100" i="36"/>
  <c r="BF101" i="36"/>
  <c r="BF2" i="36"/>
  <c r="BF107" i="5"/>
  <c r="BF106" i="5"/>
  <c r="BF105" i="5"/>
  <c r="BF104" i="5"/>
  <c r="BF103" i="5"/>
  <c r="BF107" i="3"/>
  <c r="BF106" i="3"/>
  <c r="BF105" i="3"/>
  <c r="BF104" i="3"/>
  <c r="BF103" i="3"/>
  <c r="BF107" i="2"/>
  <c r="BF106" i="2"/>
  <c r="BF105" i="2"/>
  <c r="BF104" i="2"/>
  <c r="BF103" i="2"/>
  <c r="BF103" i="7"/>
  <c r="BF104" i="7"/>
  <c r="BF105" i="7"/>
  <c r="BF106" i="7"/>
  <c r="BF107" i="7"/>
  <c r="BF103" i="1"/>
  <c r="BF104" i="1"/>
  <c r="BF105" i="1"/>
  <c r="BF106" i="1"/>
  <c r="BF107" i="1"/>
  <c r="BE3" i="36"/>
  <c r="BE4" i="36"/>
  <c r="BE5" i="36"/>
  <c r="BE6" i="36"/>
  <c r="BE7" i="36"/>
  <c r="BE8" i="36"/>
  <c r="BE9" i="36"/>
  <c r="BE10" i="36"/>
  <c r="BE11" i="36"/>
  <c r="BE12" i="36"/>
  <c r="BE13" i="36"/>
  <c r="BE14" i="36"/>
  <c r="BE15" i="36"/>
  <c r="BE16" i="36"/>
  <c r="BE17" i="36"/>
  <c r="BE18" i="36"/>
  <c r="BE19" i="36"/>
  <c r="BE20" i="36"/>
  <c r="BE21" i="36"/>
  <c r="BE22" i="36"/>
  <c r="BE24" i="36"/>
  <c r="BE25" i="36"/>
  <c r="BE26" i="36"/>
  <c r="BE27" i="36"/>
  <c r="BE28" i="36"/>
  <c r="BE29" i="36"/>
  <c r="BE30" i="36"/>
  <c r="BE31" i="36"/>
  <c r="BE32" i="36"/>
  <c r="BE33" i="36"/>
  <c r="BE35" i="36"/>
  <c r="BE36" i="36"/>
  <c r="BE37" i="36"/>
  <c r="BE38" i="36"/>
  <c r="BE39" i="36"/>
  <c r="BE41" i="36"/>
  <c r="BE42" i="36"/>
  <c r="BE43" i="36"/>
  <c r="BE44" i="36"/>
  <c r="BE45" i="36"/>
  <c r="BE46" i="36"/>
  <c r="BE47" i="36"/>
  <c r="BE48" i="36"/>
  <c r="BE49" i="36"/>
  <c r="BE50" i="36"/>
  <c r="BE51" i="36"/>
  <c r="BE52" i="36"/>
  <c r="BE53" i="36"/>
  <c r="BE54" i="36"/>
  <c r="BE56" i="36"/>
  <c r="BE57" i="36"/>
  <c r="BE58" i="36"/>
  <c r="BE59" i="36"/>
  <c r="BE60" i="36"/>
  <c r="BE61" i="36"/>
  <c r="BE64" i="36"/>
  <c r="BE65" i="36"/>
  <c r="BE66" i="36"/>
  <c r="BE67" i="36"/>
  <c r="BE68" i="36"/>
  <c r="BE69" i="36"/>
  <c r="BE70" i="36"/>
  <c r="BE71" i="36"/>
  <c r="BE72" i="36"/>
  <c r="BE73" i="36"/>
  <c r="BE74" i="36"/>
  <c r="BE75" i="36"/>
  <c r="BE76" i="36"/>
  <c r="BE77" i="36"/>
  <c r="BE78" i="36"/>
  <c r="BE79" i="36"/>
  <c r="BE80" i="36"/>
  <c r="BE81" i="36"/>
  <c r="BE82" i="36"/>
  <c r="BE83" i="36"/>
  <c r="BE84" i="36"/>
  <c r="BE85" i="36"/>
  <c r="BE86" i="36"/>
  <c r="BE87" i="36"/>
  <c r="BE88" i="36"/>
  <c r="BE89" i="36"/>
  <c r="BE90" i="36"/>
  <c r="BE91" i="36"/>
  <c r="BE92" i="36"/>
  <c r="BE93" i="36"/>
  <c r="BE94" i="36"/>
  <c r="BE95" i="36"/>
  <c r="BE96" i="36"/>
  <c r="BE98" i="36"/>
  <c r="BE100" i="36"/>
  <c r="BE101" i="36"/>
  <c r="BE2" i="36"/>
  <c r="BD3" i="36"/>
  <c r="BD4" i="36"/>
  <c r="BD5" i="36"/>
  <c r="BD6" i="36"/>
  <c r="BD7" i="36"/>
  <c r="BD8" i="36"/>
  <c r="BD9" i="36"/>
  <c r="BD10" i="36"/>
  <c r="BD11" i="36"/>
  <c r="BD12" i="36"/>
  <c r="BD13" i="36"/>
  <c r="BD14" i="36"/>
  <c r="BD15" i="36"/>
  <c r="BD16" i="36"/>
  <c r="BD17" i="36"/>
  <c r="BD18" i="36"/>
  <c r="BD19" i="36"/>
  <c r="BD20" i="36"/>
  <c r="BD21" i="36"/>
  <c r="BD22" i="36"/>
  <c r="BD24" i="36"/>
  <c r="BD25" i="36"/>
  <c r="BD26" i="36"/>
  <c r="BD27" i="36"/>
  <c r="BD28" i="36"/>
  <c r="BD29" i="36"/>
  <c r="BD30" i="36"/>
  <c r="BD31" i="36"/>
  <c r="BD32" i="36"/>
  <c r="BD33" i="36"/>
  <c r="BD35" i="36"/>
  <c r="BD36" i="36"/>
  <c r="BD37" i="36"/>
  <c r="BD38" i="36"/>
  <c r="BD39" i="36"/>
  <c r="BD41" i="36"/>
  <c r="BD42" i="36"/>
  <c r="BD43" i="36"/>
  <c r="BD44" i="36"/>
  <c r="BD45" i="36"/>
  <c r="BD46" i="36"/>
  <c r="BD47" i="36"/>
  <c r="BD48" i="36"/>
  <c r="BD49" i="36"/>
  <c r="BD50" i="36"/>
  <c r="BD51" i="36"/>
  <c r="BD52" i="36"/>
  <c r="BD53" i="36"/>
  <c r="BD54" i="36"/>
  <c r="BD56" i="36"/>
  <c r="BD57" i="36"/>
  <c r="BD58" i="36"/>
  <c r="BD59" i="36"/>
  <c r="BD60" i="36"/>
  <c r="BD61" i="36"/>
  <c r="BD64" i="36"/>
  <c r="BD65" i="36"/>
  <c r="BD66" i="36"/>
  <c r="BD67" i="36"/>
  <c r="BD68" i="36"/>
  <c r="BD69" i="36"/>
  <c r="BD70" i="36"/>
  <c r="BD71" i="36"/>
  <c r="BD72" i="36"/>
  <c r="BD73" i="36"/>
  <c r="BD74" i="36"/>
  <c r="BD75" i="36"/>
  <c r="BD76" i="36"/>
  <c r="BD77" i="36"/>
  <c r="BD78" i="36"/>
  <c r="BD79" i="36"/>
  <c r="BD80" i="36"/>
  <c r="BD81" i="36"/>
  <c r="BD82" i="36"/>
  <c r="BD83" i="36"/>
  <c r="BD84" i="36"/>
  <c r="BD85" i="36"/>
  <c r="BD86" i="36"/>
  <c r="BD87" i="36"/>
  <c r="BD88" i="36"/>
  <c r="BD89" i="36"/>
  <c r="BD90" i="36"/>
  <c r="BD91" i="36"/>
  <c r="BD92" i="36"/>
  <c r="BD93" i="36"/>
  <c r="BD94" i="36"/>
  <c r="BD95" i="36"/>
  <c r="BD96" i="36"/>
  <c r="BD98" i="36"/>
  <c r="BD100" i="36"/>
  <c r="BD101" i="36"/>
  <c r="BD2" i="36"/>
  <c r="BC3" i="36"/>
  <c r="BC4" i="36"/>
  <c r="BC5" i="36"/>
  <c r="BC6" i="36"/>
  <c r="BC7" i="36"/>
  <c r="BC8" i="36"/>
  <c r="BC9" i="36"/>
  <c r="BC10" i="36"/>
  <c r="BC11" i="36"/>
  <c r="BC12" i="36"/>
  <c r="BC13" i="36"/>
  <c r="BC14" i="36"/>
  <c r="BC15" i="36"/>
  <c r="BC16" i="36"/>
  <c r="BC17" i="36"/>
  <c r="BC18" i="36"/>
  <c r="BC19" i="36"/>
  <c r="BC20" i="36"/>
  <c r="BC21" i="36"/>
  <c r="BC22" i="36"/>
  <c r="BC24" i="36"/>
  <c r="BC25" i="36"/>
  <c r="BC26" i="36"/>
  <c r="BC27" i="36"/>
  <c r="BC28" i="36"/>
  <c r="BC29" i="36"/>
  <c r="BC30" i="36"/>
  <c r="BC31" i="36"/>
  <c r="BC32" i="36"/>
  <c r="BC33" i="36"/>
  <c r="BC35" i="36"/>
  <c r="BC36" i="36"/>
  <c r="BC37" i="36"/>
  <c r="BC38" i="36"/>
  <c r="BC39" i="36"/>
  <c r="BC41" i="36"/>
  <c r="BC42" i="36"/>
  <c r="BC43" i="36"/>
  <c r="BC44" i="36"/>
  <c r="BC45" i="36"/>
  <c r="BC46" i="36"/>
  <c r="BC47" i="36"/>
  <c r="BC48" i="36"/>
  <c r="BC49" i="36"/>
  <c r="BC50" i="36"/>
  <c r="BC51" i="36"/>
  <c r="BC52" i="36"/>
  <c r="BC53" i="36"/>
  <c r="BC54" i="36"/>
  <c r="BC56" i="36"/>
  <c r="BC57" i="36"/>
  <c r="BC58" i="36"/>
  <c r="BC60" i="36"/>
  <c r="BC61" i="36"/>
  <c r="BC64" i="36"/>
  <c r="BC65" i="36"/>
  <c r="BC66" i="36"/>
  <c r="BC67" i="36"/>
  <c r="BC68" i="36"/>
  <c r="BC69" i="36"/>
  <c r="BC70" i="36"/>
  <c r="BC71" i="36"/>
  <c r="BC72" i="36"/>
  <c r="BC73" i="36"/>
  <c r="BC74" i="36"/>
  <c r="BC75" i="36"/>
  <c r="BC76" i="36"/>
  <c r="BC77" i="36"/>
  <c r="BC78" i="36"/>
  <c r="BC79" i="36"/>
  <c r="BC80" i="36"/>
  <c r="BC81" i="36"/>
  <c r="BC82" i="36"/>
  <c r="BC83" i="36"/>
  <c r="BC84" i="36"/>
  <c r="BC85" i="36"/>
  <c r="BC86" i="36"/>
  <c r="BC87" i="36"/>
  <c r="BC88" i="36"/>
  <c r="BC89" i="36"/>
  <c r="BC90" i="36"/>
  <c r="BC91" i="36"/>
  <c r="BC92" i="36"/>
  <c r="BC93" i="36"/>
  <c r="BC94" i="36"/>
  <c r="BC95" i="36"/>
  <c r="BC96" i="36"/>
  <c r="BC98" i="36"/>
  <c r="BC100" i="36"/>
  <c r="BC101" i="36"/>
  <c r="BC2" i="36"/>
  <c r="BB3" i="36"/>
  <c r="BB4" i="36"/>
  <c r="BB5" i="36"/>
  <c r="BB6" i="36"/>
  <c r="BB7" i="36"/>
  <c r="BB8" i="36"/>
  <c r="BB9" i="36"/>
  <c r="BB10" i="36"/>
  <c r="BB11" i="36"/>
  <c r="BB12" i="36"/>
  <c r="BB13" i="36"/>
  <c r="BB14" i="36"/>
  <c r="BB15" i="36"/>
  <c r="BB16" i="36"/>
  <c r="BB17" i="36"/>
  <c r="BB18" i="36"/>
  <c r="BB19" i="36"/>
  <c r="BB20" i="36"/>
  <c r="BB21" i="36"/>
  <c r="BB22" i="36"/>
  <c r="BB24" i="36"/>
  <c r="BB25" i="36"/>
  <c r="BB26" i="36"/>
  <c r="BB27" i="36"/>
  <c r="BB28" i="36"/>
  <c r="BB29" i="36"/>
  <c r="BB30" i="36"/>
  <c r="BB31" i="36"/>
  <c r="BB32" i="36"/>
  <c r="BB33" i="36"/>
  <c r="BB35" i="36"/>
  <c r="BB36" i="36"/>
  <c r="BB37" i="36"/>
  <c r="BB38" i="36"/>
  <c r="BB39" i="36"/>
  <c r="BB41" i="36"/>
  <c r="BB42" i="36"/>
  <c r="BB43" i="36"/>
  <c r="BB44" i="36"/>
  <c r="BB45" i="36"/>
  <c r="BB46" i="36"/>
  <c r="BB47" i="36"/>
  <c r="BB48" i="36"/>
  <c r="BB49" i="36"/>
  <c r="BB50" i="36"/>
  <c r="BB51" i="36"/>
  <c r="BB52" i="36"/>
  <c r="BB53" i="36"/>
  <c r="BB54" i="36"/>
  <c r="BB56" i="36"/>
  <c r="BB57" i="36"/>
  <c r="BB58" i="36"/>
  <c r="BB59" i="36"/>
  <c r="BB60" i="36"/>
  <c r="BB61" i="36"/>
  <c r="BB64" i="36"/>
  <c r="BB65" i="36"/>
  <c r="BB66" i="36"/>
  <c r="BB67" i="36"/>
  <c r="BB68" i="36"/>
  <c r="BB69" i="36"/>
  <c r="BB70" i="36"/>
  <c r="BB71" i="36"/>
  <c r="BB72" i="36"/>
  <c r="BB73" i="36"/>
  <c r="BB74" i="36"/>
  <c r="BB75" i="36"/>
  <c r="BB76" i="36"/>
  <c r="BB77" i="36"/>
  <c r="BB78" i="36"/>
  <c r="BB79" i="36"/>
  <c r="BB80" i="36"/>
  <c r="BB81" i="36"/>
  <c r="BB82" i="36"/>
  <c r="BB83" i="36"/>
  <c r="BB84" i="36"/>
  <c r="BB85" i="36"/>
  <c r="BB86" i="36"/>
  <c r="BB87" i="36"/>
  <c r="BB88" i="36"/>
  <c r="BB89" i="36"/>
  <c r="BB90" i="36"/>
  <c r="BB91" i="36"/>
  <c r="BB92" i="36"/>
  <c r="BB93" i="36"/>
  <c r="BB94" i="36"/>
  <c r="BB95" i="36"/>
  <c r="BB96" i="36"/>
  <c r="BB98" i="36"/>
  <c r="BB100" i="36"/>
  <c r="BB101" i="36"/>
  <c r="BB2" i="36"/>
  <c r="BE107" i="1"/>
  <c r="BE106" i="1"/>
  <c r="BE105" i="1"/>
  <c r="BE104" i="1"/>
  <c r="BE103" i="1"/>
  <c r="BB107" i="1"/>
  <c r="BB106" i="1"/>
  <c r="BB105" i="1"/>
  <c r="BB104" i="1"/>
  <c r="BB103" i="1"/>
  <c r="BE107" i="2"/>
  <c r="BE106" i="2"/>
  <c r="BE105" i="2"/>
  <c r="BE104" i="2"/>
  <c r="BE103" i="2"/>
  <c r="BB107" i="2"/>
  <c r="BB106" i="2"/>
  <c r="BB105" i="2"/>
  <c r="BB104" i="2"/>
  <c r="BB103" i="2"/>
  <c r="BB107" i="7"/>
  <c r="BB106" i="7"/>
  <c r="BB105" i="7"/>
  <c r="BB104" i="7"/>
  <c r="BB103" i="7"/>
  <c r="BE107" i="7"/>
  <c r="BE106" i="7"/>
  <c r="BE105" i="7"/>
  <c r="BE104" i="7"/>
  <c r="BE103" i="7"/>
  <c r="BE107" i="3"/>
  <c r="BE106" i="3"/>
  <c r="BE105" i="3"/>
  <c r="BE104" i="3"/>
  <c r="BE103" i="3"/>
  <c r="BB107" i="3"/>
  <c r="BB106" i="3"/>
  <c r="BB105" i="3"/>
  <c r="BB104" i="3"/>
  <c r="BB103" i="3"/>
  <c r="BB103" i="5"/>
  <c r="BC103" i="5"/>
  <c r="BD103" i="5"/>
  <c r="BE103" i="5"/>
  <c r="BB104" i="5"/>
  <c r="BC104" i="5"/>
  <c r="BD104" i="5"/>
  <c r="BE104" i="5"/>
  <c r="BB105" i="5"/>
  <c r="BC105" i="5"/>
  <c r="BD105" i="5"/>
  <c r="BE105" i="5"/>
  <c r="BB106" i="5"/>
  <c r="BC106" i="5"/>
  <c r="BD106" i="5"/>
  <c r="BE106" i="5"/>
  <c r="BB107" i="5"/>
  <c r="BC107" i="5"/>
  <c r="BD107" i="5"/>
  <c r="BE107" i="5"/>
  <c r="BD107" i="2"/>
  <c r="BC107" i="2"/>
  <c r="BD106" i="2"/>
  <c r="BC106" i="2"/>
  <c r="BD105" i="2"/>
  <c r="BC105" i="2"/>
  <c r="BD104" i="2"/>
  <c r="BC104" i="2"/>
  <c r="BD103" i="2"/>
  <c r="BC103" i="2"/>
  <c r="BD107" i="7"/>
  <c r="BC107" i="7"/>
  <c r="BD106" i="7"/>
  <c r="BC106" i="7"/>
  <c r="BD105" i="7"/>
  <c r="BC105" i="7"/>
  <c r="BD104" i="7"/>
  <c r="BC104" i="7"/>
  <c r="BD103" i="7"/>
  <c r="BC103" i="7"/>
  <c r="BD107" i="1"/>
  <c r="BC107" i="1"/>
  <c r="BD106" i="1"/>
  <c r="BD105" i="1"/>
  <c r="BC105" i="1"/>
  <c r="BD104" i="1"/>
  <c r="BD103" i="1"/>
  <c r="BC103" i="1"/>
  <c r="BC104" i="3"/>
  <c r="BD104" i="3"/>
  <c r="BC105" i="3"/>
  <c r="BD105" i="3"/>
  <c r="BC106" i="3"/>
  <c r="BD106" i="3"/>
  <c r="BC107" i="3"/>
  <c r="BD107" i="3"/>
  <c r="BC103" i="3"/>
  <c r="BC108" i="3" s="1"/>
  <c r="BD103" i="3"/>
  <c r="BG50" i="36" l="1"/>
  <c r="BG24" i="36"/>
  <c r="BG19" i="36"/>
  <c r="BG25" i="36"/>
  <c r="BG92" i="36"/>
  <c r="BG39" i="36"/>
  <c r="BG52" i="36"/>
  <c r="BG48" i="36"/>
  <c r="BG44" i="36"/>
  <c r="BG40" i="36"/>
  <c r="BG35" i="36"/>
  <c r="BG21" i="36"/>
  <c r="BG51" i="36"/>
  <c r="BG80" i="36"/>
  <c r="BG68" i="36"/>
  <c r="BG107" i="7"/>
  <c r="BG107" i="1"/>
  <c r="BG103" i="1"/>
  <c r="BG37" i="36"/>
  <c r="BG98" i="36"/>
  <c r="BG85" i="36"/>
  <c r="BG73" i="36"/>
  <c r="BG59" i="36"/>
  <c r="BG95" i="36"/>
  <c r="BG83" i="36"/>
  <c r="BG71" i="36"/>
  <c r="BG57" i="36"/>
  <c r="BG27" i="36"/>
  <c r="BG47" i="36"/>
  <c r="BG96" i="36"/>
  <c r="BG84" i="36"/>
  <c r="BG72" i="36"/>
  <c r="BG58" i="36"/>
  <c r="BG94" i="36"/>
  <c r="BG82" i="36"/>
  <c r="BG70" i="36"/>
  <c r="BG103" i="7"/>
  <c r="BG33" i="36"/>
  <c r="BG20" i="36"/>
  <c r="BG46" i="36"/>
  <c r="BG103" i="2"/>
  <c r="BG107" i="5"/>
  <c r="BG106" i="2"/>
  <c r="BG93" i="36"/>
  <c r="BG81" i="36"/>
  <c r="BG69" i="36"/>
  <c r="BG38" i="36"/>
  <c r="BG107" i="3"/>
  <c r="BG79" i="36"/>
  <c r="BG67" i="36"/>
  <c r="BG36" i="36"/>
  <c r="BG22" i="36"/>
  <c r="BG30" i="36"/>
  <c r="BG55" i="36"/>
  <c r="BG43" i="36"/>
  <c r="BG90" i="36"/>
  <c r="BG78" i="36"/>
  <c r="BG66" i="36"/>
  <c r="BG106" i="7"/>
  <c r="BG29" i="36"/>
  <c r="BG54" i="36"/>
  <c r="BG42" i="36"/>
  <c r="BG106" i="5"/>
  <c r="BG107" i="2"/>
  <c r="BG103" i="3"/>
  <c r="BG77" i="36"/>
  <c r="BG65" i="36"/>
  <c r="BG101" i="36"/>
  <c r="BG87" i="36"/>
  <c r="BG75" i="36"/>
  <c r="BG61" i="36"/>
  <c r="BG31" i="36"/>
  <c r="BG26" i="36"/>
  <c r="BG106" i="1"/>
  <c r="BG88" i="36"/>
  <c r="BG76" i="36"/>
  <c r="BG64" i="36"/>
  <c r="BG100" i="36"/>
  <c r="BG86" i="36"/>
  <c r="BG74" i="36"/>
  <c r="BG60" i="36"/>
  <c r="BG105" i="1"/>
  <c r="BG106" i="3"/>
  <c r="BG103" i="5"/>
  <c r="BG56" i="36"/>
  <c r="BG18" i="36"/>
  <c r="BG91" i="36"/>
  <c r="BG104" i="1"/>
  <c r="BG89" i="36"/>
  <c r="BF108" i="7"/>
  <c r="BG104" i="5"/>
  <c r="BG105" i="5"/>
  <c r="BG104" i="7"/>
  <c r="BG108" i="7" s="1"/>
  <c r="BG105" i="7"/>
  <c r="BG104" i="3"/>
  <c r="BG105" i="3"/>
  <c r="BG104" i="2"/>
  <c r="BG105" i="2"/>
  <c r="BF108" i="5"/>
  <c r="BF107" i="36"/>
  <c r="BF106" i="36"/>
  <c r="BF105" i="36"/>
  <c r="BF104" i="36"/>
  <c r="BF103" i="36"/>
  <c r="BF108" i="3"/>
  <c r="BF108" i="2"/>
  <c r="BF108" i="1"/>
  <c r="BB108" i="3"/>
  <c r="BE104" i="36"/>
  <c r="BD108" i="5"/>
  <c r="BC108" i="5"/>
  <c r="BB107" i="36"/>
  <c r="BE105" i="36"/>
  <c r="BE108" i="1"/>
  <c r="BB108" i="1"/>
  <c r="BB105" i="36"/>
  <c r="BE107" i="36"/>
  <c r="BE106" i="36"/>
  <c r="BE103" i="36"/>
  <c r="BB103" i="36"/>
  <c r="BB108" i="2"/>
  <c r="BE108" i="2"/>
  <c r="BC108" i="2"/>
  <c r="BD108" i="2"/>
  <c r="BB108" i="7"/>
  <c r="BE108" i="7"/>
  <c r="BE108" i="3"/>
  <c r="BE108" i="5"/>
  <c r="BB108" i="5"/>
  <c r="BD108" i="3"/>
  <c r="BC107" i="36"/>
  <c r="BC103" i="36"/>
  <c r="BD103" i="36"/>
  <c r="BD107" i="36"/>
  <c r="BD106" i="36"/>
  <c r="BD105" i="36"/>
  <c r="BD104" i="36"/>
  <c r="BC105" i="36"/>
  <c r="BC108" i="7"/>
  <c r="BD108" i="7"/>
  <c r="BD108" i="1"/>
  <c r="Z35" i="32"/>
  <c r="Y25" i="32"/>
  <c r="Y9" i="32"/>
  <c r="BA44" i="7"/>
  <c r="AZ44" i="7"/>
  <c r="BG108" i="1" l="1"/>
  <c r="BG103" i="36"/>
  <c r="BG105" i="36"/>
  <c r="BG107" i="36"/>
  <c r="BG108" i="2"/>
  <c r="BG106" i="36"/>
  <c r="BG108" i="3"/>
  <c r="BG108" i="5"/>
  <c r="BG104" i="36"/>
  <c r="BF108" i="36"/>
  <c r="Y35" i="32"/>
  <c r="BE108" i="36"/>
  <c r="BD108" i="36"/>
  <c r="AZ48" i="5"/>
  <c r="AZ39" i="5"/>
  <c r="AZ44" i="5"/>
  <c r="BA36" i="5"/>
  <c r="AZ93" i="3"/>
  <c r="BA93" i="3"/>
  <c r="BA35" i="3"/>
  <c r="BA66" i="1"/>
  <c r="BA69" i="1"/>
  <c r="BA51" i="1"/>
  <c r="BA35" i="1"/>
  <c r="BG108" i="36" l="1"/>
  <c r="BA105" i="5"/>
  <c r="AZ93" i="7"/>
  <c r="BA93" i="7"/>
  <c r="AZ105" i="7"/>
  <c r="BA105" i="7"/>
  <c r="BA35" i="7"/>
  <c r="Y2" i="33"/>
  <c r="AX93" i="2" l="1"/>
  <c r="AZ105" i="2"/>
  <c r="BA105" i="2"/>
  <c r="AY78" i="2"/>
  <c r="AZ78" i="2" s="1"/>
  <c r="BA78" i="2" s="1"/>
  <c r="AY79" i="2"/>
  <c r="AZ79" i="2" s="1"/>
  <c r="BA79" i="2" s="1"/>
  <c r="AY80" i="2"/>
  <c r="AZ80" i="2" s="1"/>
  <c r="BA80" i="2" s="1"/>
  <c r="AY81" i="2"/>
  <c r="AZ81" i="2" s="1"/>
  <c r="BA81" i="2" s="1"/>
  <c r="AY82" i="2"/>
  <c r="AZ82" i="2" s="1"/>
  <c r="BA82" i="2" s="1"/>
  <c r="AY83" i="2"/>
  <c r="AZ83" i="2" s="1"/>
  <c r="BA83" i="2" s="1"/>
  <c r="AY84" i="2"/>
  <c r="AZ84" i="2" s="1"/>
  <c r="BA84" i="2" s="1"/>
  <c r="AY85" i="2"/>
  <c r="AZ85" i="2" s="1"/>
  <c r="BA85" i="2" s="1"/>
  <c r="AY86" i="2"/>
  <c r="AZ86" i="2" s="1"/>
  <c r="BA86" i="2" s="1"/>
  <c r="AY87" i="2"/>
  <c r="AZ87" i="2" s="1"/>
  <c r="BA87" i="2" s="1"/>
  <c r="AY88" i="2"/>
  <c r="AZ88" i="2" s="1"/>
  <c r="BA88" i="2" s="1"/>
  <c r="AY89" i="2"/>
  <c r="AZ89" i="2" s="1"/>
  <c r="AD125" i="35"/>
  <c r="AE173" i="35" s="1"/>
  <c r="AD118" i="35"/>
  <c r="AD117" i="35"/>
  <c r="AD116" i="35"/>
  <c r="AD114" i="35"/>
  <c r="AD113" i="35"/>
  <c r="AD112" i="35"/>
  <c r="AY39" i="3"/>
  <c r="AC67" i="35"/>
  <c r="AD67" i="35" s="1"/>
  <c r="BH90" i="36" l="1"/>
  <c r="BH107" i="5"/>
  <c r="BH104" i="5"/>
  <c r="BH108" i="5" s="1"/>
  <c r="BA39" i="3"/>
  <c r="BA89" i="2"/>
  <c r="AX69" i="5"/>
  <c r="AY69" i="5" s="1"/>
  <c r="AZ69" i="5" s="1"/>
  <c r="BA69" i="5" s="1"/>
  <c r="AC14" i="35"/>
  <c r="AC48" i="35"/>
  <c r="AY90" i="7"/>
  <c r="AY93" i="7" s="1"/>
  <c r="AY3" i="7"/>
  <c r="AZ3" i="7" s="1"/>
  <c r="AY4" i="7"/>
  <c r="AZ4" i="7" s="1"/>
  <c r="BA4" i="7" s="1"/>
  <c r="AY5" i="7"/>
  <c r="AZ5" i="7" s="1"/>
  <c r="BA5" i="7" s="1"/>
  <c r="AY6" i="7"/>
  <c r="AZ6" i="7" s="1"/>
  <c r="BA6" i="7" s="1"/>
  <c r="AY7" i="7"/>
  <c r="AZ7" i="7" s="1"/>
  <c r="BA7" i="7" s="1"/>
  <c r="AY8" i="7"/>
  <c r="AZ8" i="7" s="1"/>
  <c r="BA8" i="7" s="1"/>
  <c r="AY9" i="7"/>
  <c r="AZ9" i="7" s="1"/>
  <c r="BA9" i="7" s="1"/>
  <c r="AY10" i="7"/>
  <c r="AZ10" i="7" s="1"/>
  <c r="BA10" i="7" s="1"/>
  <c r="AY11" i="7"/>
  <c r="AZ11" i="7" s="1"/>
  <c r="BA11" i="7" s="1"/>
  <c r="AY12" i="7"/>
  <c r="AZ12" i="7" s="1"/>
  <c r="BA12" i="7" s="1"/>
  <c r="AY13" i="7"/>
  <c r="AZ13" i="7" s="1"/>
  <c r="BA13" i="7" s="1"/>
  <c r="AY14" i="7"/>
  <c r="AZ14" i="7" s="1"/>
  <c r="BA14" i="7" s="1"/>
  <c r="AY15" i="7"/>
  <c r="AZ15" i="7" s="1"/>
  <c r="BA15" i="7" s="1"/>
  <c r="AY16" i="7"/>
  <c r="AZ16" i="7" s="1"/>
  <c r="BA16" i="7" s="1"/>
  <c r="AY17" i="7"/>
  <c r="AZ17" i="7" s="1"/>
  <c r="BA17" i="7" s="1"/>
  <c r="AY18" i="7"/>
  <c r="AZ18" i="7" s="1"/>
  <c r="BA18" i="7" s="1"/>
  <c r="AY19" i="7"/>
  <c r="AZ19" i="7" s="1"/>
  <c r="BA19" i="7" s="1"/>
  <c r="AY20" i="7"/>
  <c r="AZ20" i="7" s="1"/>
  <c r="BA20" i="7" s="1"/>
  <c r="AY21" i="7"/>
  <c r="AZ21" i="7" s="1"/>
  <c r="BA21" i="7" s="1"/>
  <c r="AY22" i="7"/>
  <c r="AZ22" i="7" s="1"/>
  <c r="BA22" i="7" s="1"/>
  <c r="AY24" i="7"/>
  <c r="AZ24" i="7" s="1"/>
  <c r="BA24" i="7" s="1"/>
  <c r="AY25" i="7"/>
  <c r="AZ25" i="7" s="1"/>
  <c r="BA25" i="7" s="1"/>
  <c r="AY26" i="7"/>
  <c r="AZ26" i="7" s="1"/>
  <c r="BA26" i="7" s="1"/>
  <c r="AY27" i="7"/>
  <c r="AZ27" i="7" s="1"/>
  <c r="BA27" i="7" s="1"/>
  <c r="AY28" i="7"/>
  <c r="AZ28" i="7" s="1"/>
  <c r="BA28" i="7" s="1"/>
  <c r="AY29" i="7"/>
  <c r="AZ29" i="7" s="1"/>
  <c r="BA29" i="7" s="1"/>
  <c r="AY30" i="7"/>
  <c r="AZ30" i="7" s="1"/>
  <c r="BA30" i="7" s="1"/>
  <c r="AY31" i="7"/>
  <c r="AZ31" i="7" s="1"/>
  <c r="BA31" i="7" s="1"/>
  <c r="AY32" i="7"/>
  <c r="AZ32" i="7" s="1"/>
  <c r="BA32" i="7" s="1"/>
  <c r="AY33" i="7"/>
  <c r="AZ33" i="7" s="1"/>
  <c r="BA33" i="7" s="1"/>
  <c r="AY35" i="7"/>
  <c r="AY36" i="7"/>
  <c r="AZ36" i="7" s="1"/>
  <c r="BA36" i="7" s="1"/>
  <c r="AY38" i="7"/>
  <c r="AZ38" i="7" s="1"/>
  <c r="AY56" i="7"/>
  <c r="AZ56" i="7" s="1"/>
  <c r="BA56" i="7" s="1"/>
  <c r="AY57" i="7"/>
  <c r="AZ57" i="7" s="1"/>
  <c r="BA57" i="7" s="1"/>
  <c r="AY59" i="7"/>
  <c r="AZ59" i="7" s="1"/>
  <c r="BA59" i="7" s="1"/>
  <c r="AY60" i="7"/>
  <c r="AZ60" i="7" s="1"/>
  <c r="BA60" i="7" s="1"/>
  <c r="AY61" i="7"/>
  <c r="AZ61" i="7" s="1"/>
  <c r="BA61" i="7" s="1"/>
  <c r="AY65" i="7"/>
  <c r="AZ65" i="7" s="1"/>
  <c r="BA65" i="7" s="1"/>
  <c r="AY69" i="7"/>
  <c r="AZ69" i="7" s="1"/>
  <c r="BA69" i="7" s="1"/>
  <c r="AY70" i="7"/>
  <c r="AZ70" i="7" s="1"/>
  <c r="BA70" i="7" s="1"/>
  <c r="AY72" i="7"/>
  <c r="AZ72" i="7" s="1"/>
  <c r="BA72" i="7" s="1"/>
  <c r="AY73" i="7"/>
  <c r="AZ73" i="7" s="1"/>
  <c r="BA73" i="7" s="1"/>
  <c r="AY74" i="7"/>
  <c r="AZ74" i="7" s="1"/>
  <c r="BA74" i="7" s="1"/>
  <c r="AY75" i="7"/>
  <c r="AZ75" i="7" s="1"/>
  <c r="BA75" i="7" s="1"/>
  <c r="AY76" i="7"/>
  <c r="AZ76" i="7" s="1"/>
  <c r="BA76" i="7" s="1"/>
  <c r="AY77" i="7"/>
  <c r="AZ77" i="7" s="1"/>
  <c r="BA77" i="7" s="1"/>
  <c r="AY78" i="7"/>
  <c r="AZ78" i="7" s="1"/>
  <c r="BA78" i="7" s="1"/>
  <c r="AY79" i="7"/>
  <c r="AZ79" i="7" s="1"/>
  <c r="BA79" i="7" s="1"/>
  <c r="AY80" i="7"/>
  <c r="AZ80" i="7" s="1"/>
  <c r="BA80" i="7" s="1"/>
  <c r="AY81" i="7"/>
  <c r="AZ81" i="7" s="1"/>
  <c r="BA81" i="7" s="1"/>
  <c r="AY82" i="7"/>
  <c r="AZ82" i="7" s="1"/>
  <c r="BA82" i="7" s="1"/>
  <c r="AY83" i="7"/>
  <c r="AZ83" i="7" s="1"/>
  <c r="BA83" i="7" s="1"/>
  <c r="AY84" i="7"/>
  <c r="AZ84" i="7" s="1"/>
  <c r="BA84" i="7" s="1"/>
  <c r="AY85" i="7"/>
  <c r="AZ85" i="7" s="1"/>
  <c r="BA85" i="7" s="1"/>
  <c r="AY86" i="7"/>
  <c r="AZ86" i="7" s="1"/>
  <c r="BA86" i="7" s="1"/>
  <c r="AY87" i="7"/>
  <c r="AZ87" i="7" s="1"/>
  <c r="BA87" i="7" s="1"/>
  <c r="AY88" i="7"/>
  <c r="AZ88" i="7" s="1"/>
  <c r="BA88" i="7" s="1"/>
  <c r="AY89" i="7"/>
  <c r="AZ89" i="7" s="1"/>
  <c r="AY91" i="7"/>
  <c r="AZ91" i="7" s="1"/>
  <c r="BA91" i="7" s="1"/>
  <c r="AY92" i="7"/>
  <c r="AZ92" i="7" s="1"/>
  <c r="BA92" i="7" s="1"/>
  <c r="AY94" i="7"/>
  <c r="AZ94" i="7" s="1"/>
  <c r="BA94" i="7" s="1"/>
  <c r="AY95" i="7"/>
  <c r="AZ95" i="7" s="1"/>
  <c r="BA95" i="7" s="1"/>
  <c r="AY96" i="7"/>
  <c r="AZ96" i="7" s="1"/>
  <c r="BA96" i="7" s="1"/>
  <c r="AY98" i="7"/>
  <c r="AZ98" i="7" s="1"/>
  <c r="BA98" i="7" s="1"/>
  <c r="AY100" i="7"/>
  <c r="AZ100" i="7" s="1"/>
  <c r="AY101" i="7"/>
  <c r="AZ101" i="7" s="1"/>
  <c r="BA101" i="7" s="1"/>
  <c r="AY102" i="7"/>
  <c r="AZ102" i="7" s="1"/>
  <c r="BA102" i="7" s="1"/>
  <c r="AY2" i="7"/>
  <c r="AZ2" i="7" s="1"/>
  <c r="AY3" i="3"/>
  <c r="AY4" i="3"/>
  <c r="AZ4" i="3" s="1"/>
  <c r="AY5" i="3"/>
  <c r="AZ5" i="3" s="1"/>
  <c r="BA5" i="3" s="1"/>
  <c r="AY6" i="3"/>
  <c r="AZ6" i="3" s="1"/>
  <c r="AY7" i="3"/>
  <c r="AZ7" i="3" s="1"/>
  <c r="AY8" i="3"/>
  <c r="AZ8" i="3" s="1"/>
  <c r="AY9" i="3"/>
  <c r="AZ9" i="3" s="1"/>
  <c r="AY10" i="3"/>
  <c r="AZ10" i="3" s="1"/>
  <c r="AY11" i="3"/>
  <c r="AZ11" i="3" s="1"/>
  <c r="BA11" i="3" s="1"/>
  <c r="AY12" i="3"/>
  <c r="AZ12" i="3" s="1"/>
  <c r="BA12" i="3" s="1"/>
  <c r="AY13" i="3"/>
  <c r="AZ13" i="3" s="1"/>
  <c r="BA13" i="3" s="1"/>
  <c r="AY14" i="3"/>
  <c r="AZ14" i="3" s="1"/>
  <c r="BA14" i="3" s="1"/>
  <c r="AY15" i="3"/>
  <c r="AZ15" i="3" s="1"/>
  <c r="BA15" i="3" s="1"/>
  <c r="AY16" i="3"/>
  <c r="AZ16" i="3" s="1"/>
  <c r="BA16" i="3" s="1"/>
  <c r="AY17" i="3"/>
  <c r="AZ17" i="3" s="1"/>
  <c r="BA17" i="3" s="1"/>
  <c r="AY18" i="3"/>
  <c r="AZ18" i="3" s="1"/>
  <c r="BA18" i="3" s="1"/>
  <c r="AY19" i="3"/>
  <c r="AZ19" i="3" s="1"/>
  <c r="BA19" i="3" s="1"/>
  <c r="AY20" i="3"/>
  <c r="AZ20" i="3" s="1"/>
  <c r="BA20" i="3" s="1"/>
  <c r="AY21" i="3"/>
  <c r="AZ21" i="3" s="1"/>
  <c r="BA21" i="3" s="1"/>
  <c r="AY22" i="3"/>
  <c r="AZ22" i="3" s="1"/>
  <c r="BA22" i="3" s="1"/>
  <c r="AY24" i="3"/>
  <c r="AZ24" i="3" s="1"/>
  <c r="BA24" i="3" s="1"/>
  <c r="AY25" i="3"/>
  <c r="AZ25" i="3" s="1"/>
  <c r="BA25" i="3" s="1"/>
  <c r="AY26" i="3"/>
  <c r="AZ26" i="3" s="1"/>
  <c r="BA26" i="3" s="1"/>
  <c r="AY27" i="3"/>
  <c r="AZ27" i="3" s="1"/>
  <c r="BA27" i="3" s="1"/>
  <c r="AY28" i="3"/>
  <c r="AZ28" i="3" s="1"/>
  <c r="BA28" i="3" s="1"/>
  <c r="AY29" i="3"/>
  <c r="AZ29" i="3" s="1"/>
  <c r="BA29" i="3" s="1"/>
  <c r="AY30" i="3"/>
  <c r="AZ30" i="3" s="1"/>
  <c r="BA30" i="3" s="1"/>
  <c r="AY31" i="3"/>
  <c r="AZ31" i="3" s="1"/>
  <c r="BA31" i="3" s="1"/>
  <c r="AY32" i="3"/>
  <c r="AZ32" i="3" s="1"/>
  <c r="BA32" i="3" s="1"/>
  <c r="AY33" i="3"/>
  <c r="AZ33" i="3" s="1"/>
  <c r="BA33" i="3" s="1"/>
  <c r="AY35" i="3"/>
  <c r="AY36" i="3"/>
  <c r="AZ36" i="3" s="1"/>
  <c r="BA36" i="3" s="1"/>
  <c r="AY38" i="3"/>
  <c r="AZ38" i="3" s="1"/>
  <c r="AY41" i="3"/>
  <c r="AZ41" i="3" s="1"/>
  <c r="BA41" i="3" s="1"/>
  <c r="BA42" i="36" s="1"/>
  <c r="AY43" i="3"/>
  <c r="AY56" i="3"/>
  <c r="AZ56" i="3" s="1"/>
  <c r="BA56" i="3" s="1"/>
  <c r="AY57" i="3"/>
  <c r="AZ57" i="3" s="1"/>
  <c r="BA57" i="3" s="1"/>
  <c r="AY58" i="3"/>
  <c r="AZ58" i="3" s="1"/>
  <c r="BA58" i="3" s="1"/>
  <c r="AY59" i="3"/>
  <c r="AZ59" i="3" s="1"/>
  <c r="BA59" i="3" s="1"/>
  <c r="AY60" i="3"/>
  <c r="AZ60" i="3" s="1"/>
  <c r="BA60" i="3" s="1"/>
  <c r="AY66" i="3"/>
  <c r="AZ66" i="3" s="1"/>
  <c r="BA66" i="3" s="1"/>
  <c r="AY67" i="3"/>
  <c r="AZ67" i="3" s="1"/>
  <c r="BA67" i="3" s="1"/>
  <c r="AY68" i="3"/>
  <c r="AZ68" i="3" s="1"/>
  <c r="BA68" i="3" s="1"/>
  <c r="AY69" i="3"/>
  <c r="AZ69" i="3" s="1"/>
  <c r="BA69" i="3" s="1"/>
  <c r="AY70" i="3"/>
  <c r="AZ70" i="3" s="1"/>
  <c r="BA70" i="3" s="1"/>
  <c r="AY71" i="3"/>
  <c r="AZ71" i="3" s="1"/>
  <c r="BA71" i="3" s="1"/>
  <c r="AY72" i="3"/>
  <c r="AZ72" i="3" s="1"/>
  <c r="BA72" i="3" s="1"/>
  <c r="AY73" i="3"/>
  <c r="AZ73" i="3" s="1"/>
  <c r="BA73" i="3" s="1"/>
  <c r="AY74" i="3"/>
  <c r="AZ74" i="3" s="1"/>
  <c r="BA74" i="3" s="1"/>
  <c r="AY75" i="3"/>
  <c r="AZ75" i="3" s="1"/>
  <c r="BA75" i="3" s="1"/>
  <c r="AY76" i="3"/>
  <c r="AZ76" i="3" s="1"/>
  <c r="BA76" i="3" s="1"/>
  <c r="AY77" i="3"/>
  <c r="AZ77" i="3" s="1"/>
  <c r="BA77" i="3" s="1"/>
  <c r="AY78" i="3"/>
  <c r="AZ78" i="3" s="1"/>
  <c r="BA78" i="3" s="1"/>
  <c r="AY79" i="3"/>
  <c r="AZ79" i="3" s="1"/>
  <c r="BA79" i="3" s="1"/>
  <c r="AY80" i="3"/>
  <c r="AZ80" i="3" s="1"/>
  <c r="BA80" i="3" s="1"/>
  <c r="AY81" i="3"/>
  <c r="AZ81" i="3" s="1"/>
  <c r="BA81" i="3" s="1"/>
  <c r="AY82" i="3"/>
  <c r="AZ82" i="3" s="1"/>
  <c r="BA82" i="3" s="1"/>
  <c r="AY83" i="3"/>
  <c r="AZ83" i="3" s="1"/>
  <c r="BA83" i="3" s="1"/>
  <c r="AY84" i="3"/>
  <c r="AZ84" i="3" s="1"/>
  <c r="BA84" i="3" s="1"/>
  <c r="AY85" i="3"/>
  <c r="AZ85" i="3" s="1"/>
  <c r="BA85" i="3" s="1"/>
  <c r="AY86" i="3"/>
  <c r="AZ86" i="3" s="1"/>
  <c r="BA86" i="3" s="1"/>
  <c r="AY87" i="3"/>
  <c r="AZ87" i="3" s="1"/>
  <c r="BA87" i="3" s="1"/>
  <c r="AY88" i="3"/>
  <c r="AZ88" i="3" s="1"/>
  <c r="BA88" i="3" s="1"/>
  <c r="AY89" i="3"/>
  <c r="AZ89" i="3" s="1"/>
  <c r="AY90" i="3"/>
  <c r="AZ90" i="3" s="1"/>
  <c r="BA90" i="3" s="1"/>
  <c r="AY91" i="3"/>
  <c r="AZ91" i="3" s="1"/>
  <c r="BA91" i="3" s="1"/>
  <c r="AY94" i="3"/>
  <c r="AZ94" i="3" s="1"/>
  <c r="BA94" i="3" s="1"/>
  <c r="AY95" i="3"/>
  <c r="AZ95" i="3" s="1"/>
  <c r="BA95" i="3" s="1"/>
  <c r="AY96" i="3"/>
  <c r="AZ96" i="3" s="1"/>
  <c r="BA96" i="3" s="1"/>
  <c r="AY98" i="3"/>
  <c r="AZ98" i="3" s="1"/>
  <c r="BA98" i="3" s="1"/>
  <c r="AY100" i="3"/>
  <c r="AZ100" i="3" s="1"/>
  <c r="AY101" i="3"/>
  <c r="AZ101" i="3" s="1"/>
  <c r="BA101" i="3" s="1"/>
  <c r="AY2" i="3"/>
  <c r="AY3" i="2"/>
  <c r="AY4" i="2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Z18" i="2" s="1"/>
  <c r="AY19" i="2"/>
  <c r="AY20" i="2"/>
  <c r="AY21" i="2"/>
  <c r="AY22" i="2"/>
  <c r="AZ22" i="2" s="1"/>
  <c r="BA22" i="2" s="1"/>
  <c r="AY24" i="2"/>
  <c r="AY25" i="2"/>
  <c r="AY26" i="2"/>
  <c r="AY27" i="2"/>
  <c r="AY28" i="2"/>
  <c r="AY29" i="2"/>
  <c r="AY30" i="2"/>
  <c r="AY31" i="2"/>
  <c r="AY32" i="2"/>
  <c r="AY33" i="2"/>
  <c r="AY35" i="2"/>
  <c r="AY36" i="2"/>
  <c r="AY38" i="2"/>
  <c r="AY52" i="2"/>
  <c r="AY53" i="2"/>
  <c r="AY54" i="2"/>
  <c r="AY55" i="2"/>
  <c r="AY56" i="2"/>
  <c r="AZ56" i="2" s="1"/>
  <c r="AY57" i="2"/>
  <c r="AZ57" i="2" s="1"/>
  <c r="BA57" i="2" s="1"/>
  <c r="AY58" i="2"/>
  <c r="AY59" i="2"/>
  <c r="AY60" i="2"/>
  <c r="AZ60" i="2" s="1"/>
  <c r="BA60" i="2" s="1"/>
  <c r="AY61" i="2"/>
  <c r="AY64" i="2"/>
  <c r="AY65" i="2"/>
  <c r="AZ65" i="2" s="1"/>
  <c r="BA65" i="2" s="1"/>
  <c r="AY66" i="2"/>
  <c r="AZ66" i="2" s="1"/>
  <c r="BA66" i="2" s="1"/>
  <c r="AY67" i="2"/>
  <c r="AY68" i="2"/>
  <c r="AY70" i="2"/>
  <c r="AY71" i="2"/>
  <c r="AY72" i="2"/>
  <c r="AY73" i="2"/>
  <c r="AZ73" i="2" s="1"/>
  <c r="BA73" i="2" s="1"/>
  <c r="AY74" i="2"/>
  <c r="AZ74" i="2" s="1"/>
  <c r="BA74" i="2" s="1"/>
  <c r="AY75" i="2"/>
  <c r="AZ75" i="2" s="1"/>
  <c r="BA75" i="2" s="1"/>
  <c r="AY76" i="2"/>
  <c r="AZ76" i="2" s="1"/>
  <c r="BA76" i="2" s="1"/>
  <c r="AY77" i="2"/>
  <c r="AZ77" i="2" s="1"/>
  <c r="BA77" i="2" s="1"/>
  <c r="AY91" i="2"/>
  <c r="AY92" i="2"/>
  <c r="AY94" i="2"/>
  <c r="AZ94" i="2" s="1"/>
  <c r="BA94" i="2" s="1"/>
  <c r="AY95" i="2"/>
  <c r="AZ95" i="2" s="1"/>
  <c r="BA95" i="2" s="1"/>
  <c r="AY96" i="2"/>
  <c r="AZ96" i="2" s="1"/>
  <c r="BA96" i="2" s="1"/>
  <c r="AY98" i="2"/>
  <c r="AY100" i="2"/>
  <c r="AZ100" i="2" s="1"/>
  <c r="AY101" i="2"/>
  <c r="AZ101" i="2" s="1"/>
  <c r="BA101" i="2" s="1"/>
  <c r="AY2" i="2"/>
  <c r="AY3" i="1"/>
  <c r="AY4" i="1"/>
  <c r="AY5" i="1"/>
  <c r="AY6" i="1"/>
  <c r="AY7" i="1"/>
  <c r="AY8" i="1"/>
  <c r="AY9" i="1"/>
  <c r="AY10" i="1"/>
  <c r="AY11" i="1"/>
  <c r="AZ11" i="1" s="1"/>
  <c r="AY12" i="1"/>
  <c r="AZ12" i="1" s="1"/>
  <c r="AY13" i="1"/>
  <c r="AZ13" i="1" s="1"/>
  <c r="AY14" i="1"/>
  <c r="AZ14" i="1" s="1"/>
  <c r="AY15" i="1"/>
  <c r="AZ15" i="1" s="1"/>
  <c r="AY16" i="1"/>
  <c r="AY17" i="1"/>
  <c r="AZ17" i="1" s="1"/>
  <c r="AY18" i="1"/>
  <c r="AZ18" i="1" s="1"/>
  <c r="AY19" i="1"/>
  <c r="AZ19" i="1" s="1"/>
  <c r="AY20" i="1"/>
  <c r="AZ20" i="1" s="1"/>
  <c r="AY21" i="1"/>
  <c r="AY24" i="1"/>
  <c r="AZ24" i="1" s="1"/>
  <c r="AY25" i="1"/>
  <c r="AZ25" i="1" s="1"/>
  <c r="AY26" i="1"/>
  <c r="AZ26" i="1" s="1"/>
  <c r="AY27" i="1"/>
  <c r="AZ27" i="1" s="1"/>
  <c r="AY28" i="1"/>
  <c r="AZ28" i="1" s="1"/>
  <c r="AY29" i="1"/>
  <c r="AZ29" i="1" s="1"/>
  <c r="AY30" i="1"/>
  <c r="AZ30" i="1" s="1"/>
  <c r="AY31" i="1"/>
  <c r="AZ31" i="1" s="1"/>
  <c r="AY32" i="1"/>
  <c r="AZ32" i="1" s="1"/>
  <c r="AY33" i="1"/>
  <c r="AZ33" i="1" s="1"/>
  <c r="AY35" i="1"/>
  <c r="AY36" i="1"/>
  <c r="AZ36" i="1" s="1"/>
  <c r="AY38" i="1"/>
  <c r="AY56" i="1"/>
  <c r="AY57" i="1"/>
  <c r="AZ57" i="1" s="1"/>
  <c r="AY58" i="1"/>
  <c r="AZ58" i="1" s="1"/>
  <c r="AY59" i="1"/>
  <c r="AY60" i="1"/>
  <c r="AY61" i="1"/>
  <c r="AZ61" i="1" s="1"/>
  <c r="AY64" i="1"/>
  <c r="AZ64" i="1" s="1"/>
  <c r="AY65" i="1"/>
  <c r="AZ65" i="1" s="1"/>
  <c r="AY66" i="1"/>
  <c r="AY68" i="1"/>
  <c r="AZ68" i="1" s="1"/>
  <c r="AY69" i="1"/>
  <c r="AY70" i="1"/>
  <c r="AZ70" i="1" s="1"/>
  <c r="AY72" i="1"/>
  <c r="AZ72" i="1" s="1"/>
  <c r="AY73" i="1"/>
  <c r="AZ73" i="1" s="1"/>
  <c r="AY74" i="1"/>
  <c r="AY75" i="1"/>
  <c r="AZ75" i="1" s="1"/>
  <c r="AY76" i="1"/>
  <c r="AZ76" i="1" s="1"/>
  <c r="AY77" i="1"/>
  <c r="AZ77" i="1" s="1"/>
  <c r="AY78" i="1"/>
  <c r="AY79" i="1"/>
  <c r="AZ79" i="1" s="1"/>
  <c r="AY80" i="1"/>
  <c r="AZ80" i="1" s="1"/>
  <c r="AY81" i="1"/>
  <c r="AZ81" i="1" s="1"/>
  <c r="AY82" i="1"/>
  <c r="AY83" i="1"/>
  <c r="AZ83" i="1" s="1"/>
  <c r="AY84" i="1"/>
  <c r="AZ84" i="1" s="1"/>
  <c r="AY85" i="1"/>
  <c r="AZ85" i="1" s="1"/>
  <c r="AY86" i="1"/>
  <c r="AZ86" i="1" s="1"/>
  <c r="AY87" i="1"/>
  <c r="AZ87" i="1" s="1"/>
  <c r="AY88" i="1"/>
  <c r="AZ88" i="1" s="1"/>
  <c r="AY89" i="1"/>
  <c r="AZ89" i="1" s="1"/>
  <c r="AY90" i="1"/>
  <c r="AY91" i="1"/>
  <c r="AZ91" i="1" s="1"/>
  <c r="AY92" i="1"/>
  <c r="AZ92" i="1" s="1"/>
  <c r="AY93" i="1"/>
  <c r="AZ93" i="1" s="1"/>
  <c r="AY94" i="1"/>
  <c r="AY95" i="1"/>
  <c r="AZ95" i="1" s="1"/>
  <c r="AY96" i="1"/>
  <c r="AZ96" i="1" s="1"/>
  <c r="AY98" i="1"/>
  <c r="AZ98" i="1" s="1"/>
  <c r="AY100" i="1"/>
  <c r="AZ100" i="1" s="1"/>
  <c r="AY101" i="1"/>
  <c r="AY2" i="1"/>
  <c r="AD129" i="35"/>
  <c r="AD126" i="35"/>
  <c r="AD123" i="35"/>
  <c r="AD119" i="35"/>
  <c r="AD12" i="35"/>
  <c r="AE12" i="35" s="1"/>
  <c r="AD29" i="35"/>
  <c r="AD30" i="35"/>
  <c r="AD31" i="35"/>
  <c r="AD32" i="35"/>
  <c r="AD33" i="35"/>
  <c r="AD35" i="35"/>
  <c r="AD45" i="35"/>
  <c r="AD46" i="35"/>
  <c r="AD47" i="35"/>
  <c r="AD49" i="35"/>
  <c r="AD50" i="35"/>
  <c r="AD51" i="35"/>
  <c r="AD52" i="35"/>
  <c r="AD53" i="35"/>
  <c r="AD54" i="35"/>
  <c r="AD55" i="35"/>
  <c r="AD56" i="35"/>
  <c r="AD57" i="35"/>
  <c r="AD58" i="35"/>
  <c r="AD59" i="35"/>
  <c r="AD60" i="35"/>
  <c r="AD61" i="35"/>
  <c r="AD62" i="35"/>
  <c r="AD63" i="35"/>
  <c r="AD64" i="35"/>
  <c r="AD65" i="35"/>
  <c r="AD66" i="35"/>
  <c r="AD68" i="35"/>
  <c r="AD69" i="35"/>
  <c r="AD70" i="35"/>
  <c r="AD71" i="35"/>
  <c r="AD72" i="35"/>
  <c r="AD73" i="35"/>
  <c r="AD74" i="35"/>
  <c r="AD75" i="35"/>
  <c r="AD76" i="35"/>
  <c r="AD77" i="35"/>
  <c r="AD78" i="35"/>
  <c r="AD79" i="35"/>
  <c r="AD80" i="35"/>
  <c r="AD81" i="35"/>
  <c r="AD82" i="35"/>
  <c r="AD83" i="35"/>
  <c r="AD84" i="35"/>
  <c r="AD85" i="35"/>
  <c r="AD86" i="35"/>
  <c r="AD87" i="35"/>
  <c r="AD88" i="35"/>
  <c r="AD89" i="35"/>
  <c r="AD90" i="35"/>
  <c r="AD91" i="35"/>
  <c r="AD92" i="35"/>
  <c r="AD93" i="35"/>
  <c r="AD94" i="35"/>
  <c r="AD95" i="35"/>
  <c r="AD96" i="35"/>
  <c r="AD97" i="35"/>
  <c r="AD98" i="35"/>
  <c r="AD99" i="35"/>
  <c r="AD100" i="35"/>
  <c r="AD101" i="35"/>
  <c r="AD102" i="35"/>
  <c r="AD103" i="35"/>
  <c r="AD104" i="35"/>
  <c r="AD105" i="35"/>
  <c r="AD106" i="35"/>
  <c r="AD107" i="35"/>
  <c r="AD108" i="35"/>
  <c r="AD109" i="35"/>
  <c r="AD110" i="35"/>
  <c r="AD111" i="35"/>
  <c r="AD120" i="35"/>
  <c r="AD122" i="35"/>
  <c r="AD124" i="35"/>
  <c r="AD131" i="35"/>
  <c r="AD132" i="35"/>
  <c r="AD133" i="35"/>
  <c r="AD134" i="35"/>
  <c r="AD135" i="35"/>
  <c r="AD136" i="35"/>
  <c r="AD137" i="35"/>
  <c r="AD138" i="35"/>
  <c r="AD139" i="35"/>
  <c r="AD140" i="35"/>
  <c r="AD141" i="35"/>
  <c r="AD142" i="35"/>
  <c r="AD143" i="35"/>
  <c r="AD144" i="35"/>
  <c r="AD145" i="35"/>
  <c r="AD146" i="35"/>
  <c r="AD147" i="35"/>
  <c r="AD148" i="35"/>
  <c r="AD149" i="35"/>
  <c r="AD150" i="35"/>
  <c r="AD151" i="35"/>
  <c r="AD152" i="35"/>
  <c r="AD153" i="35"/>
  <c r="AD154" i="35"/>
  <c r="AD155" i="35"/>
  <c r="AD156" i="35"/>
  <c r="AD157" i="35"/>
  <c r="AD158" i="35"/>
  <c r="AD159" i="35"/>
  <c r="AD160" i="35"/>
  <c r="AD161" i="35"/>
  <c r="AD162" i="35"/>
  <c r="AD163" i="35"/>
  <c r="AD164" i="35"/>
  <c r="AD165" i="35"/>
  <c r="AD166" i="35"/>
  <c r="AD170" i="35"/>
  <c r="AD11" i="35"/>
  <c r="AE15" i="35" s="1"/>
  <c r="AY56" i="5"/>
  <c r="AZ56" i="5" s="1"/>
  <c r="AY57" i="5"/>
  <c r="AZ57" i="5" s="1"/>
  <c r="BA57" i="5" s="1"/>
  <c r="AY58" i="5"/>
  <c r="AZ58" i="5" s="1"/>
  <c r="BA58" i="5" s="1"/>
  <c r="AY59" i="5"/>
  <c r="AZ59" i="5" s="1"/>
  <c r="BA59" i="5" s="1"/>
  <c r="AY60" i="5"/>
  <c r="AZ60" i="5" s="1"/>
  <c r="AY61" i="5"/>
  <c r="AZ61" i="5" s="1"/>
  <c r="BA61" i="5" s="1"/>
  <c r="AY64" i="5"/>
  <c r="AZ64" i="5" s="1"/>
  <c r="BA64" i="5" s="1"/>
  <c r="AY65" i="5"/>
  <c r="AZ65" i="5" s="1"/>
  <c r="BA65" i="5" s="1"/>
  <c r="AY66" i="5"/>
  <c r="AZ66" i="5" s="1"/>
  <c r="AY67" i="5"/>
  <c r="AZ67" i="5" s="1"/>
  <c r="BA67" i="5" s="1"/>
  <c r="AY68" i="5"/>
  <c r="AZ68" i="5" s="1"/>
  <c r="BA68" i="5" s="1"/>
  <c r="AY70" i="5"/>
  <c r="AZ70" i="5" s="1"/>
  <c r="AY71" i="5"/>
  <c r="AZ71" i="5" s="1"/>
  <c r="BA71" i="5" s="1"/>
  <c r="AY72" i="5"/>
  <c r="AZ72" i="5" s="1"/>
  <c r="BA72" i="5" s="1"/>
  <c r="AY74" i="5"/>
  <c r="AZ74" i="5" s="1"/>
  <c r="AY75" i="5"/>
  <c r="AZ75" i="5" s="1"/>
  <c r="BA75" i="5" s="1"/>
  <c r="AY76" i="5"/>
  <c r="AZ76" i="5" s="1"/>
  <c r="BA76" i="5" s="1"/>
  <c r="AY77" i="5"/>
  <c r="AZ77" i="5" s="1"/>
  <c r="BA77" i="5" s="1"/>
  <c r="AY78" i="5"/>
  <c r="AZ78" i="5" s="1"/>
  <c r="AY79" i="5"/>
  <c r="AZ79" i="5" s="1"/>
  <c r="BA79" i="5" s="1"/>
  <c r="AY80" i="5"/>
  <c r="AZ80" i="5" s="1"/>
  <c r="BA80" i="5" s="1"/>
  <c r="AY81" i="5"/>
  <c r="AZ81" i="5" s="1"/>
  <c r="BA81" i="5" s="1"/>
  <c r="AY83" i="5"/>
  <c r="AZ83" i="5" s="1"/>
  <c r="BA83" i="5" s="1"/>
  <c r="AY84" i="5"/>
  <c r="AZ84" i="5" s="1"/>
  <c r="BA84" i="5" s="1"/>
  <c r="AY85" i="5"/>
  <c r="AZ85" i="5" s="1"/>
  <c r="BA85" i="5" s="1"/>
  <c r="AY86" i="5"/>
  <c r="AZ86" i="5" s="1"/>
  <c r="AY88" i="5"/>
  <c r="BA88" i="5" s="1"/>
  <c r="AY89" i="5"/>
  <c r="AZ89" i="5" s="1"/>
  <c r="AY91" i="5"/>
  <c r="AZ91" i="5" s="1"/>
  <c r="BA91" i="5" s="1"/>
  <c r="AY92" i="5"/>
  <c r="AZ92" i="5" s="1"/>
  <c r="BA92" i="5" s="1"/>
  <c r="AY94" i="5"/>
  <c r="AZ94" i="5" s="1"/>
  <c r="AY95" i="5"/>
  <c r="AZ95" i="5" s="1"/>
  <c r="BA95" i="5" s="1"/>
  <c r="AY96" i="5"/>
  <c r="AZ96" i="5" s="1"/>
  <c r="BA96" i="5" s="1"/>
  <c r="AY98" i="5"/>
  <c r="AZ98" i="5" s="1"/>
  <c r="BA98" i="5" s="1"/>
  <c r="AY100" i="5"/>
  <c r="AZ100" i="5" s="1"/>
  <c r="AY38" i="5"/>
  <c r="AZ38" i="5" s="1"/>
  <c r="BA38" i="5" s="1"/>
  <c r="AY33" i="5"/>
  <c r="AZ33" i="5" s="1"/>
  <c r="AY30" i="5"/>
  <c r="AZ30" i="5" s="1"/>
  <c r="BA30" i="5" s="1"/>
  <c r="AY3" i="5"/>
  <c r="AZ3" i="5" s="1"/>
  <c r="BA3" i="5" s="1"/>
  <c r="AY4" i="5"/>
  <c r="AY5" i="5"/>
  <c r="AZ5" i="5" s="1"/>
  <c r="AY6" i="5"/>
  <c r="AZ6" i="5" s="1"/>
  <c r="BA6" i="5" s="1"/>
  <c r="AY7" i="5"/>
  <c r="AZ7" i="5" s="1"/>
  <c r="BA7" i="5" s="1"/>
  <c r="AY8" i="5"/>
  <c r="AZ8" i="5" s="1"/>
  <c r="BA8" i="5" s="1"/>
  <c r="AY9" i="5"/>
  <c r="AZ9" i="5" s="1"/>
  <c r="BA9" i="5" s="1"/>
  <c r="AY10" i="5"/>
  <c r="AZ10" i="5" s="1"/>
  <c r="BA10" i="5" s="1"/>
  <c r="AY12" i="5"/>
  <c r="AZ12" i="5" s="1"/>
  <c r="BA12" i="5" s="1"/>
  <c r="AY14" i="5"/>
  <c r="AZ14" i="5" s="1"/>
  <c r="BA14" i="5" s="1"/>
  <c r="AY15" i="5"/>
  <c r="AZ15" i="5" s="1"/>
  <c r="BA15" i="5" s="1"/>
  <c r="AY16" i="5"/>
  <c r="AZ16" i="5" s="1"/>
  <c r="AY17" i="5"/>
  <c r="AZ17" i="5" s="1"/>
  <c r="BA17" i="5" s="1"/>
  <c r="AY18" i="5"/>
  <c r="AZ18" i="5" s="1"/>
  <c r="BA18" i="5" s="1"/>
  <c r="AY19" i="5"/>
  <c r="AZ19" i="5" s="1"/>
  <c r="BA19" i="5" s="1"/>
  <c r="AY20" i="5"/>
  <c r="AZ20" i="5" s="1"/>
  <c r="BA20" i="5" s="1"/>
  <c r="AY21" i="5"/>
  <c r="AZ21" i="5" s="1"/>
  <c r="AY22" i="5"/>
  <c r="AZ22" i="5" s="1"/>
  <c r="BA22" i="5" s="1"/>
  <c r="AY24" i="5"/>
  <c r="AZ24" i="5" s="1"/>
  <c r="BA24" i="5" s="1"/>
  <c r="AY25" i="5"/>
  <c r="AZ25" i="5" s="1"/>
  <c r="BA25" i="5" s="1"/>
  <c r="AY26" i="5"/>
  <c r="BA26" i="5" s="1"/>
  <c r="AY27" i="5"/>
  <c r="AZ27" i="5" s="1"/>
  <c r="BA27" i="5" s="1"/>
  <c r="AY28" i="5"/>
  <c r="AZ28" i="5" s="1"/>
  <c r="BA28" i="5" s="1"/>
  <c r="AY29" i="5"/>
  <c r="AZ29" i="5" s="1"/>
  <c r="BA29" i="5" s="1"/>
  <c r="AY31" i="5"/>
  <c r="AZ31" i="5" s="1"/>
  <c r="BA31" i="5" s="1"/>
  <c r="AY32" i="5"/>
  <c r="AZ32" i="5" s="1"/>
  <c r="BA32" i="5" s="1"/>
  <c r="AY35" i="5"/>
  <c r="AZ35" i="5" s="1"/>
  <c r="AY37" i="5"/>
  <c r="AZ37" i="5" s="1"/>
  <c r="BA37" i="5" s="1"/>
  <c r="AY2" i="5"/>
  <c r="AZ2" i="5" s="1"/>
  <c r="AX39" i="5"/>
  <c r="AY39" i="5" s="1"/>
  <c r="AZ101" i="1" l="1"/>
  <c r="BA101" i="1" s="1"/>
  <c r="AZ59" i="1"/>
  <c r="BA59" i="1" s="1"/>
  <c r="BC59" i="1" s="1"/>
  <c r="AZ56" i="1"/>
  <c r="BA56" i="1" s="1"/>
  <c r="AZ94" i="1"/>
  <c r="BA94" i="1" s="1"/>
  <c r="AZ90" i="1"/>
  <c r="AZ82" i="1"/>
  <c r="BA82" i="1" s="1"/>
  <c r="AZ78" i="1"/>
  <c r="AZ78" i="36" s="1"/>
  <c r="AZ74" i="1"/>
  <c r="BA74" i="1" s="1"/>
  <c r="AZ21" i="1"/>
  <c r="BA21" i="1" s="1"/>
  <c r="AZ16" i="1"/>
  <c r="BA16" i="1" s="1"/>
  <c r="BH107" i="36"/>
  <c r="BH104" i="36"/>
  <c r="BH108" i="36" s="1"/>
  <c r="AE67" i="35"/>
  <c r="AE175" i="35" s="1"/>
  <c r="BB106" i="36"/>
  <c r="BB104" i="36"/>
  <c r="BB108" i="36" s="1"/>
  <c r="AZ4" i="5"/>
  <c r="AZ4" i="36" s="1"/>
  <c r="BA35" i="5"/>
  <c r="BA35" i="36" s="1"/>
  <c r="AZ35" i="36"/>
  <c r="AZ5" i="36"/>
  <c r="BA5" i="5"/>
  <c r="BA5" i="36" s="1"/>
  <c r="BA33" i="5"/>
  <c r="BA98" i="1"/>
  <c r="BA93" i="1"/>
  <c r="BA89" i="1"/>
  <c r="AZ89" i="36"/>
  <c r="AZ85" i="36"/>
  <c r="BA85" i="1"/>
  <c r="BA85" i="36" s="1"/>
  <c r="AZ81" i="36"/>
  <c r="BA81" i="1"/>
  <c r="BA81" i="36" s="1"/>
  <c r="BA77" i="1"/>
  <c r="BA77" i="36" s="1"/>
  <c r="AZ77" i="36"/>
  <c r="BA73" i="1"/>
  <c r="BA68" i="1"/>
  <c r="AZ61" i="36"/>
  <c r="BA61" i="1"/>
  <c r="BA61" i="36" s="1"/>
  <c r="AZ57" i="36"/>
  <c r="BA57" i="1"/>
  <c r="BA57" i="36" s="1"/>
  <c r="BA30" i="1"/>
  <c r="BA30" i="36" s="1"/>
  <c r="AZ30" i="36"/>
  <c r="AZ26" i="36"/>
  <c r="BA26" i="1"/>
  <c r="BA26" i="36" s="1"/>
  <c r="BA20" i="1"/>
  <c r="BA20" i="36" s="1"/>
  <c r="AZ20" i="36"/>
  <c r="BA12" i="1"/>
  <c r="BA12" i="36" s="1"/>
  <c r="AZ12" i="36"/>
  <c r="BA89" i="3"/>
  <c r="BA107" i="3" s="1"/>
  <c r="AZ107" i="3"/>
  <c r="BA43" i="3"/>
  <c r="BA44" i="36" s="1"/>
  <c r="AZ44" i="36"/>
  <c r="AZ9" i="36"/>
  <c r="BA9" i="3"/>
  <c r="BA9" i="36" s="1"/>
  <c r="BA39" i="36"/>
  <c r="BA89" i="5"/>
  <c r="BA70" i="5"/>
  <c r="BA66" i="5"/>
  <c r="AZ60" i="36"/>
  <c r="BA60" i="5"/>
  <c r="BA60" i="36" s="1"/>
  <c r="BA56" i="5"/>
  <c r="AZ96" i="36"/>
  <c r="BA96" i="1"/>
  <c r="BA96" i="36" s="1"/>
  <c r="BA92" i="1"/>
  <c r="BA92" i="36" s="1"/>
  <c r="AZ92" i="36"/>
  <c r="AZ88" i="36"/>
  <c r="BA88" i="1"/>
  <c r="BA88" i="36" s="1"/>
  <c r="AZ84" i="36"/>
  <c r="BA84" i="1"/>
  <c r="BA84" i="36" s="1"/>
  <c r="AZ80" i="36"/>
  <c r="BA80" i="1"/>
  <c r="BA80" i="36" s="1"/>
  <c r="AZ76" i="36"/>
  <c r="BA76" i="1"/>
  <c r="BA76" i="36" s="1"/>
  <c r="BA72" i="1"/>
  <c r="BA72" i="36" s="1"/>
  <c r="AZ72" i="36"/>
  <c r="AY33" i="36"/>
  <c r="BA33" i="1"/>
  <c r="BA29" i="1"/>
  <c r="BA29" i="36" s="1"/>
  <c r="AZ29" i="36"/>
  <c r="AY25" i="36"/>
  <c r="AZ19" i="36"/>
  <c r="BA19" i="1"/>
  <c r="BA19" i="36" s="1"/>
  <c r="AZ15" i="36"/>
  <c r="BA15" i="1"/>
  <c r="BA15" i="36" s="1"/>
  <c r="BA11" i="1"/>
  <c r="BA100" i="3"/>
  <c r="BA106" i="3" s="1"/>
  <c r="AZ106" i="3"/>
  <c r="BA8" i="3"/>
  <c r="BA8" i="36" s="1"/>
  <c r="AZ8" i="36"/>
  <c r="BA4" i="3"/>
  <c r="BA89" i="7"/>
  <c r="BA107" i="7" s="1"/>
  <c r="AZ107" i="7"/>
  <c r="BA2" i="5"/>
  <c r="AZ21" i="36"/>
  <c r="BA21" i="5"/>
  <c r="AZ100" i="36"/>
  <c r="BA100" i="5"/>
  <c r="BA94" i="5"/>
  <c r="BA78" i="5"/>
  <c r="BA74" i="5"/>
  <c r="AZ95" i="36"/>
  <c r="BA95" i="1"/>
  <c r="BA95" i="36" s="1"/>
  <c r="AY91" i="36"/>
  <c r="BA87" i="1"/>
  <c r="BA83" i="1"/>
  <c r="BA83" i="36" s="1"/>
  <c r="AZ83" i="36"/>
  <c r="BA79" i="1"/>
  <c r="BA79" i="36" s="1"/>
  <c r="AZ79" i="36"/>
  <c r="AZ75" i="36"/>
  <c r="BA75" i="1"/>
  <c r="BA75" i="36" s="1"/>
  <c r="AY70" i="36"/>
  <c r="BA70" i="1"/>
  <c r="AY65" i="36"/>
  <c r="AZ32" i="36"/>
  <c r="BA32" i="1"/>
  <c r="BA32" i="36" s="1"/>
  <c r="AZ28" i="36"/>
  <c r="BA28" i="1"/>
  <c r="BA28" i="36" s="1"/>
  <c r="AZ24" i="36"/>
  <c r="BA24" i="1"/>
  <c r="BA24" i="36" s="1"/>
  <c r="BA18" i="1"/>
  <c r="AZ18" i="36"/>
  <c r="BA14" i="1"/>
  <c r="BA14" i="36" s="1"/>
  <c r="AZ14" i="36"/>
  <c r="BA38" i="3"/>
  <c r="AZ38" i="36"/>
  <c r="BA7" i="3"/>
  <c r="BA7" i="36" s="1"/>
  <c r="AZ7" i="36"/>
  <c r="BA100" i="7"/>
  <c r="BA16" i="5"/>
  <c r="BA86" i="5"/>
  <c r="BA100" i="1"/>
  <c r="AY86" i="36"/>
  <c r="BA86" i="1"/>
  <c r="BA64" i="1"/>
  <c r="BA58" i="1"/>
  <c r="BA36" i="1"/>
  <c r="BA36" i="36" s="1"/>
  <c r="AZ36" i="36"/>
  <c r="BA31" i="1"/>
  <c r="BA31" i="36" s="1"/>
  <c r="AZ31" i="36"/>
  <c r="BA27" i="1"/>
  <c r="BA27" i="36" s="1"/>
  <c r="AZ27" i="36"/>
  <c r="BA17" i="1"/>
  <c r="BA17" i="36" s="1"/>
  <c r="AZ17" i="36"/>
  <c r="BA13" i="1"/>
  <c r="BA10" i="3"/>
  <c r="BA10" i="36" s="1"/>
  <c r="AZ10" i="36"/>
  <c r="BA6" i="3"/>
  <c r="BA6" i="36" s="1"/>
  <c r="AZ6" i="36"/>
  <c r="BA2" i="7"/>
  <c r="BA2" i="36" s="1"/>
  <c r="AZ2" i="36"/>
  <c r="BA38" i="7"/>
  <c r="AZ3" i="36"/>
  <c r="BA3" i="7"/>
  <c r="BA3" i="36" s="1"/>
  <c r="AZ39" i="36"/>
  <c r="AY29" i="36"/>
  <c r="AY12" i="36"/>
  <c r="AY20" i="36"/>
  <c r="AY16" i="36"/>
  <c r="AY8" i="36"/>
  <c r="AY59" i="36"/>
  <c r="AZ59" i="2"/>
  <c r="BA59" i="2" s="1"/>
  <c r="AD173" i="35"/>
  <c r="AY90" i="5" s="1"/>
  <c r="AY107" i="1"/>
  <c r="AY78" i="36"/>
  <c r="AY74" i="36"/>
  <c r="BA18" i="2"/>
  <c r="AY36" i="36"/>
  <c r="AY31" i="36"/>
  <c r="AY27" i="36"/>
  <c r="AY18" i="36"/>
  <c r="AY14" i="36"/>
  <c r="AY10" i="36"/>
  <c r="AY6" i="36"/>
  <c r="AY35" i="36"/>
  <c r="AY26" i="36"/>
  <c r="BA100" i="2"/>
  <c r="AY2" i="36"/>
  <c r="AY96" i="36"/>
  <c r="AY88" i="36"/>
  <c r="AY84" i="36"/>
  <c r="AY80" i="36"/>
  <c r="AY76" i="36"/>
  <c r="AY72" i="36"/>
  <c r="AY60" i="36"/>
  <c r="AY56" i="36"/>
  <c r="AY3" i="36"/>
  <c r="AY98" i="36"/>
  <c r="AZ98" i="2"/>
  <c r="BA98" i="2" s="1"/>
  <c r="BA107" i="2" s="1"/>
  <c r="BA56" i="2"/>
  <c r="AY106" i="3"/>
  <c r="AY30" i="36"/>
  <c r="AY61" i="36"/>
  <c r="AY83" i="36"/>
  <c r="AY75" i="36"/>
  <c r="AY15" i="36"/>
  <c r="AY94" i="36"/>
  <c r="AY32" i="36"/>
  <c r="AY28" i="36"/>
  <c r="AY24" i="36"/>
  <c r="AY95" i="36"/>
  <c r="AY57" i="36"/>
  <c r="AD48" i="35"/>
  <c r="AY90" i="2" s="1"/>
  <c r="AY93" i="2" s="1"/>
  <c r="AY79" i="36"/>
  <c r="AY19" i="36"/>
  <c r="AY7" i="36"/>
  <c r="AY100" i="36"/>
  <c r="AD14" i="35"/>
  <c r="AY92" i="3" s="1"/>
  <c r="AY93" i="3" s="1"/>
  <c r="AY107" i="3" s="1"/>
  <c r="AY89" i="36"/>
  <c r="AY85" i="36"/>
  <c r="AY81" i="36"/>
  <c r="AY77" i="36"/>
  <c r="AY21" i="36"/>
  <c r="AY17" i="36"/>
  <c r="AY9" i="36"/>
  <c r="AY5" i="36"/>
  <c r="AY4" i="36"/>
  <c r="AY38" i="36"/>
  <c r="AC17" i="35"/>
  <c r="AD17" i="35" s="1"/>
  <c r="AY107" i="7"/>
  <c r="AZ74" i="36" l="1"/>
  <c r="AZ56" i="36"/>
  <c r="AZ16" i="36"/>
  <c r="AZ107" i="1"/>
  <c r="BA94" i="36"/>
  <c r="BA74" i="36"/>
  <c r="AZ94" i="36"/>
  <c r="BC59" i="36"/>
  <c r="BC104" i="36" s="1"/>
  <c r="BC108" i="36" s="1"/>
  <c r="BC106" i="1"/>
  <c r="BC104" i="1"/>
  <c r="BC108" i="1" s="1"/>
  <c r="BA16" i="36"/>
  <c r="BA78" i="1"/>
  <c r="BA78" i="36" s="1"/>
  <c r="BA90" i="1"/>
  <c r="BA21" i="36"/>
  <c r="BA18" i="36"/>
  <c r="BA70" i="36"/>
  <c r="BA86" i="36"/>
  <c r="BA4" i="5"/>
  <c r="BA4" i="36" s="1"/>
  <c r="BA98" i="36"/>
  <c r="BA56" i="36"/>
  <c r="AZ98" i="36"/>
  <c r="AZ86" i="36"/>
  <c r="AZ70" i="36"/>
  <c r="BC106" i="36"/>
  <c r="AZ65" i="36"/>
  <c r="BA65" i="1"/>
  <c r="BA65" i="36" s="1"/>
  <c r="AZ91" i="36"/>
  <c r="BA91" i="1"/>
  <c r="BA91" i="36" s="1"/>
  <c r="BA25" i="1"/>
  <c r="BA25" i="36" s="1"/>
  <c r="AZ25" i="36"/>
  <c r="AY93" i="5"/>
  <c r="AZ93" i="5" s="1"/>
  <c r="AZ90" i="5"/>
  <c r="BA89" i="36"/>
  <c r="BA100" i="36"/>
  <c r="BA59" i="36"/>
  <c r="BA33" i="36"/>
  <c r="AZ59" i="36"/>
  <c r="BA38" i="36"/>
  <c r="AZ33" i="36"/>
  <c r="AY92" i="36"/>
  <c r="AZ107" i="2"/>
  <c r="AD175" i="35"/>
  <c r="AD176" i="35" s="1"/>
  <c r="AY107" i="2"/>
  <c r="AC18" i="35"/>
  <c r="AD18" i="35" s="1"/>
  <c r="AY90" i="36"/>
  <c r="AX73" i="5"/>
  <c r="AY73" i="5" s="1"/>
  <c r="AC173" i="35"/>
  <c r="AX11" i="5"/>
  <c r="AY11" i="5" s="1"/>
  <c r="AZ11" i="5" s="1"/>
  <c r="AY93" i="36" l="1"/>
  <c r="AY107" i="36" s="1"/>
  <c r="BA107" i="1"/>
  <c r="AY107" i="5"/>
  <c r="BA11" i="5"/>
  <c r="AZ11" i="36"/>
  <c r="AZ90" i="36"/>
  <c r="BA90" i="5"/>
  <c r="AZ107" i="5"/>
  <c r="AY73" i="36"/>
  <c r="AZ73" i="5"/>
  <c r="BA93" i="5"/>
  <c r="BA93" i="36" s="1"/>
  <c r="AZ93" i="36"/>
  <c r="AC19" i="35"/>
  <c r="AC20" i="35" s="1"/>
  <c r="AY11" i="36"/>
  <c r="AX5" i="36"/>
  <c r="AW5" i="36"/>
  <c r="I4" i="7"/>
  <c r="M4" i="7" s="1"/>
  <c r="V4" i="7"/>
  <c r="W4" i="7"/>
  <c r="AA4" i="7" s="1"/>
  <c r="AH4" i="7"/>
  <c r="AK4" i="7"/>
  <c r="AD19" i="35" l="1"/>
  <c r="BA90" i="36"/>
  <c r="BA107" i="36" s="1"/>
  <c r="BA107" i="5"/>
  <c r="BA11" i="36"/>
  <c r="BA73" i="5"/>
  <c r="AZ73" i="36"/>
  <c r="AZ107" i="36"/>
  <c r="Z4" i="7"/>
  <c r="AC21" i="35"/>
  <c r="AD20" i="35"/>
  <c r="AX13" i="5"/>
  <c r="AY13" i="5" s="1"/>
  <c r="AZ13" i="5" s="1"/>
  <c r="AL101" i="5"/>
  <c r="AM101" i="5"/>
  <c r="AN101" i="5"/>
  <c r="AO101" i="5"/>
  <c r="AP101" i="5"/>
  <c r="AQ101" i="5"/>
  <c r="AT101" i="5"/>
  <c r="Z27" i="33"/>
  <c r="AY82" i="5" s="1"/>
  <c r="Y27" i="33"/>
  <c r="AY82" i="36" l="1"/>
  <c r="AZ82" i="5"/>
  <c r="BA13" i="5"/>
  <c r="AZ13" i="36"/>
  <c r="AZ103" i="5"/>
  <c r="BA73" i="36"/>
  <c r="AY13" i="36"/>
  <c r="AY103" i="5"/>
  <c r="AD21" i="35"/>
  <c r="AC22" i="35"/>
  <c r="X27" i="32"/>
  <c r="X35" i="32" s="1"/>
  <c r="AZ82" i="36" l="1"/>
  <c r="BA82" i="5"/>
  <c r="BA13" i="36"/>
  <c r="BA103" i="5"/>
  <c r="AD22" i="35"/>
  <c r="AC23" i="35"/>
  <c r="AW92" i="36"/>
  <c r="AW91" i="36"/>
  <c r="AW90" i="36"/>
  <c r="AW89" i="36"/>
  <c r="AW88" i="36"/>
  <c r="AW87" i="36"/>
  <c r="AW86" i="36"/>
  <c r="AW85" i="36"/>
  <c r="AW84" i="36"/>
  <c r="AW83" i="36"/>
  <c r="AW82" i="36"/>
  <c r="AW81" i="36"/>
  <c r="AW80" i="36"/>
  <c r="AW79" i="36"/>
  <c r="AW78" i="36"/>
  <c r="AW77" i="36"/>
  <c r="AW76" i="36"/>
  <c r="AW75" i="36"/>
  <c r="AW74" i="36"/>
  <c r="AW73" i="36"/>
  <c r="AW72" i="36"/>
  <c r="AW70" i="36"/>
  <c r="AW69" i="36"/>
  <c r="AW65" i="36"/>
  <c r="AW61" i="36"/>
  <c r="AW60" i="36"/>
  <c r="AW59" i="36"/>
  <c r="AW57" i="36"/>
  <c r="AW56" i="36"/>
  <c r="AW55" i="36"/>
  <c r="AW53" i="36"/>
  <c r="AW51" i="36"/>
  <c r="AW48" i="36"/>
  <c r="AW46" i="36"/>
  <c r="AW45" i="36"/>
  <c r="AW44" i="36"/>
  <c r="AW41" i="36"/>
  <c r="AW40" i="36"/>
  <c r="AW18" i="36"/>
  <c r="AX100" i="36"/>
  <c r="AX98" i="36"/>
  <c r="AX96" i="36"/>
  <c r="AX95" i="36"/>
  <c r="AX94" i="36"/>
  <c r="AX93" i="36"/>
  <c r="AX92" i="36"/>
  <c r="AX91" i="36"/>
  <c r="AX90" i="36"/>
  <c r="AX89" i="36"/>
  <c r="AX88" i="36"/>
  <c r="AX87" i="36"/>
  <c r="AX86" i="36"/>
  <c r="AX85" i="36"/>
  <c r="AX84" i="36"/>
  <c r="AX83" i="36"/>
  <c r="AX82" i="36"/>
  <c r="AX81" i="36"/>
  <c r="AX80" i="36"/>
  <c r="AX79" i="36"/>
  <c r="AX78" i="36"/>
  <c r="AX77" i="36"/>
  <c r="AX76" i="36"/>
  <c r="AX75" i="36"/>
  <c r="AX74" i="36"/>
  <c r="AX73" i="36"/>
  <c r="AX72" i="36"/>
  <c r="AX70" i="36"/>
  <c r="AX65" i="36"/>
  <c r="AX61" i="36"/>
  <c r="AX60" i="36"/>
  <c r="AX59" i="36"/>
  <c r="AX57" i="36"/>
  <c r="AX56" i="36"/>
  <c r="AX38" i="36"/>
  <c r="AX36" i="36"/>
  <c r="AX35" i="36"/>
  <c r="AX33" i="36"/>
  <c r="AX32" i="36"/>
  <c r="AX31" i="36"/>
  <c r="AX30" i="36"/>
  <c r="AX29" i="36"/>
  <c r="AX28" i="36"/>
  <c r="AX27" i="36"/>
  <c r="AX26" i="36"/>
  <c r="AX25" i="36"/>
  <c r="AX24" i="36"/>
  <c r="AX21" i="36"/>
  <c r="AX20" i="36"/>
  <c r="AX19" i="36"/>
  <c r="AX18" i="36"/>
  <c r="AX17" i="36"/>
  <c r="AX16" i="36"/>
  <c r="AX15" i="36"/>
  <c r="AX14" i="36"/>
  <c r="AX13" i="36"/>
  <c r="AX12" i="36"/>
  <c r="AX11" i="36"/>
  <c r="AX10" i="36"/>
  <c r="AX9" i="36"/>
  <c r="AX8" i="36"/>
  <c r="AX7" i="36"/>
  <c r="AX6" i="36"/>
  <c r="AX4" i="36"/>
  <c r="AX3" i="36"/>
  <c r="AX2" i="36"/>
  <c r="AT101" i="36"/>
  <c r="AT100" i="36"/>
  <c r="AT98" i="36"/>
  <c r="AT96" i="36"/>
  <c r="AT95" i="36"/>
  <c r="AT94" i="36"/>
  <c r="AT93" i="36"/>
  <c r="AT92" i="36"/>
  <c r="AT91" i="36"/>
  <c r="AT90" i="36"/>
  <c r="AT89" i="36"/>
  <c r="AT88" i="36"/>
  <c r="AT87" i="36"/>
  <c r="AT86" i="36"/>
  <c r="AT85" i="36"/>
  <c r="AT84" i="36"/>
  <c r="AT83" i="36"/>
  <c r="AT82" i="36"/>
  <c r="AT81" i="36"/>
  <c r="AT80" i="36"/>
  <c r="AT79" i="36"/>
  <c r="AT78" i="36"/>
  <c r="AT77" i="36"/>
  <c r="AT76" i="36"/>
  <c r="AT75" i="36"/>
  <c r="AT74" i="36"/>
  <c r="AT73" i="36"/>
  <c r="AT72" i="36"/>
  <c r="AT71" i="36"/>
  <c r="AT70" i="36"/>
  <c r="AT69" i="36"/>
  <c r="AT68" i="36"/>
  <c r="AT67" i="36"/>
  <c r="AT66" i="36"/>
  <c r="AT65" i="36"/>
  <c r="AT64" i="36"/>
  <c r="AT61" i="36"/>
  <c r="AT60" i="36"/>
  <c r="AT59" i="36"/>
  <c r="AT58" i="36"/>
  <c r="AT57" i="36"/>
  <c r="AT56" i="36"/>
  <c r="AT55" i="36"/>
  <c r="AT54" i="36"/>
  <c r="AT53" i="36"/>
  <c r="AT52" i="36"/>
  <c r="AT51" i="36"/>
  <c r="AT50" i="36"/>
  <c r="AT49" i="36"/>
  <c r="AT48" i="36"/>
  <c r="AT47" i="36"/>
  <c r="AT46" i="36"/>
  <c r="AT45" i="36"/>
  <c r="AT44" i="36"/>
  <c r="AT43" i="36"/>
  <c r="AT42" i="36"/>
  <c r="AT41" i="36"/>
  <c r="AT40" i="36"/>
  <c r="AT39" i="36"/>
  <c r="AT38" i="36"/>
  <c r="AT37" i="36"/>
  <c r="AT36" i="36"/>
  <c r="AT35" i="36"/>
  <c r="AT33" i="36"/>
  <c r="AT32" i="36"/>
  <c r="AT31" i="36"/>
  <c r="AT30" i="36"/>
  <c r="AT29" i="36"/>
  <c r="AT28" i="36"/>
  <c r="AT27" i="36"/>
  <c r="AT26" i="36"/>
  <c r="AT25" i="36"/>
  <c r="AT24" i="36"/>
  <c r="AT22" i="36"/>
  <c r="AT21" i="36"/>
  <c r="AT20" i="36"/>
  <c r="AT19" i="36"/>
  <c r="AT18" i="36"/>
  <c r="AT17" i="36"/>
  <c r="AT16" i="36"/>
  <c r="AT15" i="36"/>
  <c r="AT14" i="36"/>
  <c r="AT13" i="36"/>
  <c r="AT12" i="36"/>
  <c r="AT11" i="36"/>
  <c r="AT10" i="36"/>
  <c r="AT9" i="36"/>
  <c r="AT8" i="36"/>
  <c r="AT7" i="36"/>
  <c r="AT6" i="36"/>
  <c r="AT4" i="36"/>
  <c r="AT3" i="36"/>
  <c r="AT2" i="36"/>
  <c r="AX40" i="5"/>
  <c r="AY40" i="5" s="1"/>
  <c r="AZ40" i="5" s="1"/>
  <c r="AX41" i="5"/>
  <c r="AY41" i="5" s="1"/>
  <c r="AX42" i="5"/>
  <c r="AY42" i="5" s="1"/>
  <c r="AZ42" i="5" s="1"/>
  <c r="AX43" i="5"/>
  <c r="AY43" i="5" s="1"/>
  <c r="AZ43" i="5" s="1"/>
  <c r="AX44" i="5"/>
  <c r="AY44" i="5" s="1"/>
  <c r="AX45" i="5"/>
  <c r="AY45" i="5" s="1"/>
  <c r="AZ45" i="5" s="1"/>
  <c r="AX46" i="5"/>
  <c r="AY46" i="5" s="1"/>
  <c r="AX47" i="5"/>
  <c r="AY47" i="5" s="1"/>
  <c r="AZ47" i="5" s="1"/>
  <c r="AX48" i="5"/>
  <c r="AY48" i="5" s="1"/>
  <c r="AX49" i="5"/>
  <c r="AY49" i="5" s="1"/>
  <c r="AX50" i="5"/>
  <c r="AY50" i="5" s="1"/>
  <c r="AX51" i="5"/>
  <c r="AY51" i="5" s="1"/>
  <c r="AX52" i="5"/>
  <c r="AY52" i="5" s="1"/>
  <c r="AX53" i="5"/>
  <c r="AY53" i="5" s="1"/>
  <c r="AZ53" i="5" s="1"/>
  <c r="AX54" i="5"/>
  <c r="AY54" i="5" s="1"/>
  <c r="AZ54" i="5" s="1"/>
  <c r="AX55" i="5"/>
  <c r="AY55" i="5" s="1"/>
  <c r="AZ55" i="5" s="1"/>
  <c r="AU3" i="5"/>
  <c r="AV3" i="5" s="1"/>
  <c r="AU4" i="5"/>
  <c r="AV4" i="5" s="1"/>
  <c r="AU6" i="5"/>
  <c r="AV6" i="5" s="1"/>
  <c r="AU9" i="5"/>
  <c r="AV9" i="5" s="1"/>
  <c r="AU10" i="5"/>
  <c r="AU11" i="5"/>
  <c r="AV11" i="5" s="1"/>
  <c r="AU12" i="5"/>
  <c r="AV12" i="5" s="1"/>
  <c r="AU13" i="5"/>
  <c r="AV13" i="5" s="1"/>
  <c r="AU14" i="5"/>
  <c r="AV14" i="5" s="1"/>
  <c r="AU15" i="5"/>
  <c r="AV15" i="5" s="1"/>
  <c r="AU16" i="5"/>
  <c r="AV16" i="5" s="1"/>
  <c r="AU17" i="5"/>
  <c r="AV17" i="5" s="1"/>
  <c r="AU18" i="5"/>
  <c r="AV18" i="5" s="1"/>
  <c r="AU19" i="5"/>
  <c r="AV19" i="5" s="1"/>
  <c r="AU22" i="5"/>
  <c r="AV22" i="5" s="1"/>
  <c r="AU24" i="5"/>
  <c r="AV24" i="5" s="1"/>
  <c r="AU25" i="5"/>
  <c r="AV25" i="5" s="1"/>
  <c r="AU27" i="5"/>
  <c r="AV27" i="5" s="1"/>
  <c r="AU28" i="5"/>
  <c r="AV28" i="5" s="1"/>
  <c r="AU29" i="5"/>
  <c r="AV29" i="5" s="1"/>
  <c r="AU30" i="5"/>
  <c r="AV30" i="5" s="1"/>
  <c r="AU33" i="5"/>
  <c r="AV33" i="5" s="1"/>
  <c r="AU39" i="5"/>
  <c r="AV39" i="5" s="1"/>
  <c r="AU40" i="5"/>
  <c r="AV40" i="5" s="1"/>
  <c r="AU41" i="5"/>
  <c r="AU42" i="5"/>
  <c r="AV42" i="5" s="1"/>
  <c r="AU43" i="5"/>
  <c r="AV43" i="5" s="1"/>
  <c r="AU44" i="5"/>
  <c r="AV44" i="5" s="1"/>
  <c r="AU46" i="5"/>
  <c r="AV46" i="5" s="1"/>
  <c r="AU48" i="5"/>
  <c r="AV48" i="5" s="1"/>
  <c r="AU49" i="5"/>
  <c r="AV49" i="5" s="1"/>
  <c r="AU50" i="5"/>
  <c r="AV50" i="5" s="1"/>
  <c r="AU51" i="5"/>
  <c r="AV51" i="5" s="1"/>
  <c r="AU52" i="5"/>
  <c r="AV52" i="5" s="1"/>
  <c r="AU56" i="5"/>
  <c r="AV56" i="5" s="1"/>
  <c r="AU57" i="5"/>
  <c r="AV57" i="5" s="1"/>
  <c r="AU59" i="5"/>
  <c r="AV59" i="5" s="1"/>
  <c r="AU60" i="5"/>
  <c r="AV60" i="5" s="1"/>
  <c r="AU61" i="5"/>
  <c r="AV61" i="5" s="1"/>
  <c r="AU65" i="5"/>
  <c r="AV65" i="5" s="1"/>
  <c r="AU66" i="5"/>
  <c r="AV66" i="5" s="1"/>
  <c r="AU67" i="5"/>
  <c r="AV67" i="5" s="1"/>
  <c r="AU68" i="5"/>
  <c r="AV68" i="5" s="1"/>
  <c r="AU69" i="5"/>
  <c r="AV69" i="5" s="1"/>
  <c r="AU70" i="5"/>
  <c r="AV70" i="5" s="1"/>
  <c r="AU72" i="5"/>
  <c r="AV72" i="5" s="1"/>
  <c r="AU73" i="5"/>
  <c r="AV73" i="5" s="1"/>
  <c r="AU75" i="5"/>
  <c r="AV75" i="5" s="1"/>
  <c r="AU76" i="5"/>
  <c r="AV76" i="5" s="1"/>
  <c r="AU77" i="5"/>
  <c r="AV77" i="5" s="1"/>
  <c r="AU78" i="5"/>
  <c r="AV78" i="5" s="1"/>
  <c r="AU79" i="5"/>
  <c r="AV79" i="5" s="1"/>
  <c r="AU80" i="5"/>
  <c r="AV80" i="5" s="1"/>
  <c r="AU81" i="5"/>
  <c r="AV81" i="5" s="1"/>
  <c r="AU82" i="5"/>
  <c r="AV82" i="5" s="1"/>
  <c r="AU83" i="5"/>
  <c r="AV83" i="5" s="1"/>
  <c r="AU87" i="5"/>
  <c r="AV87" i="5" s="1"/>
  <c r="AU88" i="5"/>
  <c r="AV88" i="5" s="1"/>
  <c r="AU90" i="5"/>
  <c r="AU92" i="5"/>
  <c r="AV92" i="5" s="1"/>
  <c r="AU93" i="5"/>
  <c r="AV93" i="5" s="1"/>
  <c r="AU100" i="5"/>
  <c r="AV100" i="5" s="1"/>
  <c r="AU2" i="5"/>
  <c r="AV2" i="5" s="1"/>
  <c r="AX107" i="5"/>
  <c r="AW107" i="5"/>
  <c r="AT107" i="5"/>
  <c r="AT106" i="5"/>
  <c r="AW105" i="5"/>
  <c r="AT105" i="5"/>
  <c r="AT104" i="5"/>
  <c r="AX103" i="5"/>
  <c r="AW103" i="5"/>
  <c r="AT103" i="5"/>
  <c r="BA82" i="36" l="1"/>
  <c r="AZ105" i="5"/>
  <c r="AU107" i="5"/>
  <c r="AY105" i="5"/>
  <c r="AX107" i="36"/>
  <c r="AC24" i="35"/>
  <c r="AD23" i="35"/>
  <c r="AV90" i="5"/>
  <c r="AU103" i="5"/>
  <c r="AU105" i="5"/>
  <c r="AV41" i="5"/>
  <c r="AT103" i="36"/>
  <c r="AT104" i="36"/>
  <c r="AT107" i="36"/>
  <c r="AT105" i="36"/>
  <c r="AT106" i="36"/>
  <c r="AX105" i="5"/>
  <c r="AT108" i="5"/>
  <c r="AX107" i="7"/>
  <c r="AX58" i="7"/>
  <c r="AX64" i="7"/>
  <c r="AX66" i="7"/>
  <c r="AX67" i="7"/>
  <c r="AY67" i="7" s="1"/>
  <c r="AZ67" i="7" s="1"/>
  <c r="BA67" i="7" s="1"/>
  <c r="AX68" i="7"/>
  <c r="AX71" i="7"/>
  <c r="AY71" i="7" s="1"/>
  <c r="AZ71" i="7" s="1"/>
  <c r="BA71" i="7" s="1"/>
  <c r="AX40" i="7"/>
  <c r="AY40" i="7" s="1"/>
  <c r="AX41" i="7"/>
  <c r="AY41" i="7" s="1"/>
  <c r="AX44" i="7"/>
  <c r="AY44" i="7" s="1"/>
  <c r="AX45" i="7"/>
  <c r="AY45" i="7" s="1"/>
  <c r="AX46" i="7"/>
  <c r="AY46" i="7" s="1"/>
  <c r="AX48" i="7"/>
  <c r="AY48" i="7" s="1"/>
  <c r="AX51" i="7"/>
  <c r="AY51" i="7" s="1"/>
  <c r="AX52" i="7"/>
  <c r="AY52" i="7" s="1"/>
  <c r="AX53" i="7"/>
  <c r="AY53" i="7" s="1"/>
  <c r="AX55" i="7"/>
  <c r="AY55" i="7" s="1"/>
  <c r="AX39" i="7"/>
  <c r="AY39" i="7" s="1"/>
  <c r="AW102" i="7"/>
  <c r="AW101" i="7"/>
  <c r="AW100" i="7"/>
  <c r="AW100" i="36" s="1"/>
  <c r="AW98" i="7"/>
  <c r="AW98" i="36" s="1"/>
  <c r="AW96" i="7"/>
  <c r="AW96" i="36" s="1"/>
  <c r="AW95" i="7"/>
  <c r="AW95" i="36" s="1"/>
  <c r="AW94" i="7"/>
  <c r="AW94" i="36" s="1"/>
  <c r="AW93" i="7"/>
  <c r="AW93" i="36" s="1"/>
  <c r="AW71" i="7"/>
  <c r="AW68" i="7"/>
  <c r="AW68" i="36" s="1"/>
  <c r="AW67" i="7"/>
  <c r="AW66" i="7"/>
  <c r="AW66" i="36" s="1"/>
  <c r="AW64" i="7"/>
  <c r="AW64" i="36" s="1"/>
  <c r="AW58" i="7"/>
  <c r="AW58" i="36" s="1"/>
  <c r="AW54" i="7"/>
  <c r="AW54" i="36" s="1"/>
  <c r="AW49" i="7"/>
  <c r="AW47" i="7"/>
  <c r="AW42" i="7"/>
  <c r="AW42" i="36" s="1"/>
  <c r="AW38" i="7"/>
  <c r="AW38" i="36" s="1"/>
  <c r="AW36" i="7"/>
  <c r="AW36" i="36" s="1"/>
  <c r="AW33" i="7"/>
  <c r="AW33" i="36" s="1"/>
  <c r="AW32" i="7"/>
  <c r="AW32" i="36" s="1"/>
  <c r="AW31" i="7"/>
  <c r="AW31" i="36" s="1"/>
  <c r="AW30" i="7"/>
  <c r="AW30" i="36" s="1"/>
  <c r="AW29" i="7"/>
  <c r="AW29" i="36" s="1"/>
  <c r="AW28" i="7"/>
  <c r="AW28" i="36" s="1"/>
  <c r="AW27" i="7"/>
  <c r="AW27" i="36" s="1"/>
  <c r="AW26" i="7"/>
  <c r="AW26" i="36" s="1"/>
  <c r="AW25" i="7"/>
  <c r="AW25" i="36" s="1"/>
  <c r="AW24" i="7"/>
  <c r="AW24" i="36" s="1"/>
  <c r="AW22" i="7"/>
  <c r="AW17" i="7"/>
  <c r="AW17" i="36" s="1"/>
  <c r="AW16" i="7"/>
  <c r="AW16" i="36" s="1"/>
  <c r="AW15" i="7"/>
  <c r="AW15" i="36" s="1"/>
  <c r="AW14" i="7"/>
  <c r="AW14" i="36" s="1"/>
  <c r="AW13" i="7"/>
  <c r="AW13" i="36" s="1"/>
  <c r="AW12" i="7"/>
  <c r="AW12" i="36" s="1"/>
  <c r="AW11" i="7"/>
  <c r="AW11" i="36" s="1"/>
  <c r="AW10" i="7"/>
  <c r="AW10" i="36" s="1"/>
  <c r="AW9" i="7"/>
  <c r="AW9" i="36" s="1"/>
  <c r="AW8" i="7"/>
  <c r="AW8" i="36" s="1"/>
  <c r="AW7" i="7"/>
  <c r="AW7" i="36" s="1"/>
  <c r="AW6" i="7"/>
  <c r="AW6" i="36" s="1"/>
  <c r="AW4" i="7"/>
  <c r="AW4" i="36" s="1"/>
  <c r="AW3" i="7"/>
  <c r="AW3" i="36" s="1"/>
  <c r="AW2" i="7"/>
  <c r="AW2" i="36" s="1"/>
  <c r="AU19" i="7"/>
  <c r="AW19" i="7" s="1"/>
  <c r="AW19" i="36" s="1"/>
  <c r="AU20" i="7"/>
  <c r="AW20" i="7" s="1"/>
  <c r="AW20" i="36" s="1"/>
  <c r="AU21" i="7"/>
  <c r="AW21" i="7" s="1"/>
  <c r="AW21" i="36" s="1"/>
  <c r="AU35" i="7"/>
  <c r="AW35" i="7" s="1"/>
  <c r="AW35" i="36" s="1"/>
  <c r="AU37" i="7"/>
  <c r="AV37" i="7" s="1"/>
  <c r="AU39" i="7"/>
  <c r="AV39" i="7" s="1"/>
  <c r="AU40" i="7"/>
  <c r="AU41" i="7"/>
  <c r="AV41" i="7" s="1"/>
  <c r="AU43" i="7"/>
  <c r="AW43" i="7" s="1"/>
  <c r="AU44" i="7"/>
  <c r="AV44" i="7" s="1"/>
  <c r="AU45" i="7"/>
  <c r="AV45" i="7" s="1"/>
  <c r="AU46" i="7"/>
  <c r="AV46" i="7" s="1"/>
  <c r="AU48" i="7"/>
  <c r="AV48" i="7" s="1"/>
  <c r="AU50" i="7"/>
  <c r="AW50" i="7" s="1"/>
  <c r="AU51" i="7"/>
  <c r="AV51" i="7" s="1"/>
  <c r="AU52" i="7"/>
  <c r="AV52" i="7" s="1"/>
  <c r="AU56" i="7"/>
  <c r="AV56" i="7" s="1"/>
  <c r="AU57" i="7"/>
  <c r="AV57" i="7" s="1"/>
  <c r="AU59" i="7"/>
  <c r="AV59" i="7" s="1"/>
  <c r="AU60" i="7"/>
  <c r="AV60" i="7" s="1"/>
  <c r="AU61" i="7"/>
  <c r="AV61" i="7" s="1"/>
  <c r="AU65" i="7"/>
  <c r="AV65" i="7" s="1"/>
  <c r="AU69" i="7"/>
  <c r="AV69" i="7" s="1"/>
  <c r="AU70" i="7"/>
  <c r="AV70" i="7" s="1"/>
  <c r="AU72" i="7"/>
  <c r="AV72" i="7" s="1"/>
  <c r="AU73" i="7"/>
  <c r="AV73" i="7" s="1"/>
  <c r="AU92" i="7"/>
  <c r="AU93" i="7"/>
  <c r="AV93" i="7" s="1"/>
  <c r="AU18" i="7"/>
  <c r="AV18" i="7" s="1"/>
  <c r="AT107" i="7"/>
  <c r="AT106" i="7"/>
  <c r="AT105" i="7"/>
  <c r="AT104" i="7"/>
  <c r="AT103" i="7"/>
  <c r="AX40" i="3"/>
  <c r="AY40" i="3" s="1"/>
  <c r="AZ40" i="3" s="1"/>
  <c r="AX42" i="3"/>
  <c r="AY42" i="3" s="1"/>
  <c r="AZ42" i="3" s="1"/>
  <c r="BA42" i="3" s="1"/>
  <c r="BA43" i="36" s="1"/>
  <c r="AX44" i="3"/>
  <c r="AX45" i="3"/>
  <c r="AY45" i="3" s="1"/>
  <c r="AZ45" i="3" s="1"/>
  <c r="AX46" i="3"/>
  <c r="AY46" i="3" s="1"/>
  <c r="AZ46" i="3" s="1"/>
  <c r="BA46" i="3" s="1"/>
  <c r="BA47" i="36" s="1"/>
  <c r="AX48" i="3"/>
  <c r="AY48" i="3" s="1"/>
  <c r="AZ48" i="3" s="1"/>
  <c r="BA48" i="3" s="1"/>
  <c r="BA48" i="36" s="1"/>
  <c r="AX49" i="3"/>
  <c r="AY49" i="3" s="1"/>
  <c r="AZ49" i="3" s="1"/>
  <c r="BA49" i="3" s="1"/>
  <c r="BA49" i="36" s="1"/>
  <c r="AX50" i="3"/>
  <c r="AY50" i="3" s="1"/>
  <c r="AZ50" i="3" s="1"/>
  <c r="AX51" i="3"/>
  <c r="AY51" i="3" s="1"/>
  <c r="AX52" i="3"/>
  <c r="AY52" i="3" s="1"/>
  <c r="AX53" i="3"/>
  <c r="AY53" i="3" s="1"/>
  <c r="AZ53" i="3" s="1"/>
  <c r="BA53" i="3" s="1"/>
  <c r="BA53" i="36" s="1"/>
  <c r="AX54" i="3"/>
  <c r="AY54" i="3" s="1"/>
  <c r="AZ54" i="3" s="1"/>
  <c r="BA54" i="3" s="1"/>
  <c r="BA54" i="36" s="1"/>
  <c r="AX55" i="3"/>
  <c r="AY55" i="3" s="1"/>
  <c r="AZ55" i="3" s="1"/>
  <c r="BA55" i="3" s="1"/>
  <c r="BA55" i="36" s="1"/>
  <c r="AW107" i="3"/>
  <c r="AW106" i="3"/>
  <c r="AW105" i="3"/>
  <c r="AW104" i="3"/>
  <c r="AW103" i="3"/>
  <c r="AU22" i="3"/>
  <c r="AV22" i="3" s="1"/>
  <c r="AU30" i="3"/>
  <c r="AV30" i="3" s="1"/>
  <c r="AU35" i="3"/>
  <c r="AV35" i="3" s="1"/>
  <c r="AU37" i="3"/>
  <c r="AV37" i="3" s="1"/>
  <c r="AU39" i="3"/>
  <c r="AV39" i="3" s="1"/>
  <c r="AU41" i="3"/>
  <c r="AV41" i="3" s="1"/>
  <c r="AU43" i="3"/>
  <c r="AV43" i="3" s="1"/>
  <c r="AU44" i="3"/>
  <c r="AV44" i="3" s="1"/>
  <c r="AU45" i="3"/>
  <c r="AV45" i="3" s="1"/>
  <c r="AU46" i="3"/>
  <c r="AV46" i="3" s="1"/>
  <c r="AU48" i="3"/>
  <c r="AV48" i="3" s="1"/>
  <c r="AU50" i="3"/>
  <c r="AV50" i="3" s="1"/>
  <c r="AU51" i="3"/>
  <c r="AV51" i="3" s="1"/>
  <c r="AU52" i="3"/>
  <c r="AV52" i="3" s="1"/>
  <c r="AU53" i="3"/>
  <c r="AU54" i="3"/>
  <c r="AU55" i="3"/>
  <c r="AU56" i="3"/>
  <c r="AV56" i="3" s="1"/>
  <c r="AU57" i="3"/>
  <c r="AV57" i="3" s="1"/>
  <c r="AU59" i="3"/>
  <c r="AV59" i="3" s="1"/>
  <c r="AU60" i="3"/>
  <c r="AV60" i="3" s="1"/>
  <c r="AU66" i="3"/>
  <c r="AV66" i="3" s="1"/>
  <c r="AU69" i="3"/>
  <c r="AV69" i="3" s="1"/>
  <c r="AU70" i="3"/>
  <c r="AV70" i="3" s="1"/>
  <c r="AU72" i="3"/>
  <c r="AV72" i="3" s="1"/>
  <c r="AU73" i="3"/>
  <c r="AV73" i="3" s="1"/>
  <c r="AU90" i="3"/>
  <c r="AU92" i="3"/>
  <c r="AV92" i="3" s="1"/>
  <c r="AU93" i="3"/>
  <c r="AV93" i="3" s="1"/>
  <c r="AU18" i="3"/>
  <c r="AX107" i="3"/>
  <c r="AT107" i="3"/>
  <c r="AT106" i="3"/>
  <c r="AT105" i="3"/>
  <c r="AT104" i="3"/>
  <c r="AT103" i="3"/>
  <c r="AX22" i="1"/>
  <c r="AX40" i="1"/>
  <c r="AY40" i="1" s="1"/>
  <c r="AZ40" i="1" s="1"/>
  <c r="AX41" i="1"/>
  <c r="AY41" i="1" s="1"/>
  <c r="AX42" i="1"/>
  <c r="AY42" i="1" s="1"/>
  <c r="AX43" i="1"/>
  <c r="AY43" i="1" s="1"/>
  <c r="AZ43" i="1" s="1"/>
  <c r="AX44" i="1"/>
  <c r="AX45" i="1"/>
  <c r="AY45" i="1" s="1"/>
  <c r="AX46" i="1"/>
  <c r="AY46" i="1" s="1"/>
  <c r="AX47" i="1"/>
  <c r="AY47" i="1" s="1"/>
  <c r="AX48" i="1"/>
  <c r="AY48" i="1" s="1"/>
  <c r="AX49" i="1"/>
  <c r="AY49" i="1" s="1"/>
  <c r="AX50" i="1"/>
  <c r="AY50" i="1" s="1"/>
  <c r="AX51" i="1"/>
  <c r="AY51" i="1" s="1"/>
  <c r="AX53" i="1"/>
  <c r="AY53" i="1" s="1"/>
  <c r="AZ53" i="1" s="1"/>
  <c r="AX54" i="1"/>
  <c r="AY54" i="1" s="1"/>
  <c r="AZ54" i="1" s="1"/>
  <c r="AX55" i="1"/>
  <c r="AY55" i="1" s="1"/>
  <c r="AZ55" i="1" s="1"/>
  <c r="AX107" i="1"/>
  <c r="AW107" i="1"/>
  <c r="AW71" i="1"/>
  <c r="AW67" i="1"/>
  <c r="AW39" i="1"/>
  <c r="AW39" i="36" s="1"/>
  <c r="AW22" i="1"/>
  <c r="AV21" i="1"/>
  <c r="AU55" i="2"/>
  <c r="AU56" i="2"/>
  <c r="AV56" i="2" s="1"/>
  <c r="AU22" i="1"/>
  <c r="AV22" i="1" s="1"/>
  <c r="AU37" i="1"/>
  <c r="AU39" i="1"/>
  <c r="AV39" i="1" s="1"/>
  <c r="AU41" i="1"/>
  <c r="AV41" i="1" s="1"/>
  <c r="AU44" i="1"/>
  <c r="AV44" i="1" s="1"/>
  <c r="AU45" i="1"/>
  <c r="AV45" i="1" s="1"/>
  <c r="AU46" i="1"/>
  <c r="AV46" i="1" s="1"/>
  <c r="AU48" i="1"/>
  <c r="AV48" i="1" s="1"/>
  <c r="AU50" i="1"/>
  <c r="AV50" i="1" s="1"/>
  <c r="AU52" i="1"/>
  <c r="AV52" i="1" s="1"/>
  <c r="AU56" i="1"/>
  <c r="AV56" i="1" s="1"/>
  <c r="AU57" i="1"/>
  <c r="AV57" i="1" s="1"/>
  <c r="AU59" i="1"/>
  <c r="AV59" i="1" s="1"/>
  <c r="AU60" i="1"/>
  <c r="AV60" i="1" s="1"/>
  <c r="AU61" i="1"/>
  <c r="AV61" i="1" s="1"/>
  <c r="AU64" i="1"/>
  <c r="AV64" i="1" s="1"/>
  <c r="AU65" i="1"/>
  <c r="AV65" i="1" s="1"/>
  <c r="AU66" i="1"/>
  <c r="AV66" i="1" s="1"/>
  <c r="AU69" i="1"/>
  <c r="AV69" i="1" s="1"/>
  <c r="AU70" i="1"/>
  <c r="AV70" i="1" s="1"/>
  <c r="AU72" i="1"/>
  <c r="AV72" i="1" s="1"/>
  <c r="AU73" i="1"/>
  <c r="AV73" i="1" s="1"/>
  <c r="AU92" i="1"/>
  <c r="AV92" i="1" s="1"/>
  <c r="AU93" i="1"/>
  <c r="AV93" i="1" s="1"/>
  <c r="AU18" i="1"/>
  <c r="AV18" i="1" s="1"/>
  <c r="AT107" i="1"/>
  <c r="AT106" i="1"/>
  <c r="AT105" i="1"/>
  <c r="AT103" i="1"/>
  <c r="AT104" i="1"/>
  <c r="AX69" i="2"/>
  <c r="AX106" i="2" s="1"/>
  <c r="AX107" i="2"/>
  <c r="AX40" i="2"/>
  <c r="AY40" i="2" s="1"/>
  <c r="AX41" i="2"/>
  <c r="AY41" i="2" s="1"/>
  <c r="AX42" i="2"/>
  <c r="AY42" i="2" s="1"/>
  <c r="AX43" i="2"/>
  <c r="AY43" i="2" s="1"/>
  <c r="AX44" i="2"/>
  <c r="AY44" i="2" s="1"/>
  <c r="AX45" i="2"/>
  <c r="AY45" i="2" s="1"/>
  <c r="AX46" i="2"/>
  <c r="AY46" i="2" s="1"/>
  <c r="AX47" i="2"/>
  <c r="AY47" i="2" s="1"/>
  <c r="AX48" i="2"/>
  <c r="AY48" i="2" s="1"/>
  <c r="AX49" i="2"/>
  <c r="AY49" i="2" s="1"/>
  <c r="AX50" i="2"/>
  <c r="AY50" i="2" s="1"/>
  <c r="AX51" i="2"/>
  <c r="AY51" i="2" s="1"/>
  <c r="AX39" i="2"/>
  <c r="AY39" i="2" s="1"/>
  <c r="AU20" i="2"/>
  <c r="AU21" i="2"/>
  <c r="AU22" i="2"/>
  <c r="AV22" i="2" s="1"/>
  <c r="AU24" i="2"/>
  <c r="AU25" i="2"/>
  <c r="AU26" i="2"/>
  <c r="AU27" i="2"/>
  <c r="AU28" i="2"/>
  <c r="AU29" i="2"/>
  <c r="AU30" i="2"/>
  <c r="AU31" i="2"/>
  <c r="AU32" i="2"/>
  <c r="AU33" i="2"/>
  <c r="AU35" i="2"/>
  <c r="AV35" i="2" s="1"/>
  <c r="AU36" i="2"/>
  <c r="AU37" i="2"/>
  <c r="AV37" i="2" s="1"/>
  <c r="AU38" i="2"/>
  <c r="AU39" i="2"/>
  <c r="AU40" i="2"/>
  <c r="AU41" i="2"/>
  <c r="AV41" i="2" s="1"/>
  <c r="AU42" i="2"/>
  <c r="AU43" i="2"/>
  <c r="AU44" i="2"/>
  <c r="AV44" i="2" s="1"/>
  <c r="AU45" i="2"/>
  <c r="AV45" i="2" s="1"/>
  <c r="AU46" i="2"/>
  <c r="AV46" i="2" s="1"/>
  <c r="AU47" i="2"/>
  <c r="AU48" i="2"/>
  <c r="AV48" i="2" s="1"/>
  <c r="AU49" i="2"/>
  <c r="AU50" i="2"/>
  <c r="AV50" i="2" s="1"/>
  <c r="AU51" i="2"/>
  <c r="AV51" i="2" s="1"/>
  <c r="AU52" i="2"/>
  <c r="AV52" i="2" s="1"/>
  <c r="AU57" i="2"/>
  <c r="AV57" i="2" s="1"/>
  <c r="AU58" i="2"/>
  <c r="AU59" i="2"/>
  <c r="AV59" i="2" s="1"/>
  <c r="AU60" i="2"/>
  <c r="AV60" i="2" s="1"/>
  <c r="AU61" i="2"/>
  <c r="AV61" i="2" s="1"/>
  <c r="AU64" i="2"/>
  <c r="AU65" i="2"/>
  <c r="AV65" i="2" s="1"/>
  <c r="AU66" i="2"/>
  <c r="AV66" i="2" s="1"/>
  <c r="AU69" i="2"/>
  <c r="AV69" i="2" s="1"/>
  <c r="AU70" i="2"/>
  <c r="AV70" i="2" s="1"/>
  <c r="AU72" i="2"/>
  <c r="AV72" i="2" s="1"/>
  <c r="AU93" i="2"/>
  <c r="AV93" i="2" s="1"/>
  <c r="AU18" i="2"/>
  <c r="AW107" i="2"/>
  <c r="AW106" i="2"/>
  <c r="AW105" i="2"/>
  <c r="AW104" i="2"/>
  <c r="AW103" i="2"/>
  <c r="AN103" i="2"/>
  <c r="AN104" i="2"/>
  <c r="AN105" i="2"/>
  <c r="AN106" i="2"/>
  <c r="AN107" i="2"/>
  <c r="AT107" i="2"/>
  <c r="AT106" i="2"/>
  <c r="AT105" i="2"/>
  <c r="AT104" i="2"/>
  <c r="AT103" i="2"/>
  <c r="AZ49" i="1" l="1"/>
  <c r="AZ49" i="36" s="1"/>
  <c r="AZ42" i="1"/>
  <c r="AZ42" i="36" s="1"/>
  <c r="AZ48" i="1"/>
  <c r="AZ48" i="36" s="1"/>
  <c r="AZ47" i="1"/>
  <c r="AZ47" i="36" s="1"/>
  <c r="AZ54" i="36"/>
  <c r="AT108" i="2"/>
  <c r="AZ43" i="36"/>
  <c r="AZ55" i="36"/>
  <c r="AU107" i="7"/>
  <c r="AZ53" i="36"/>
  <c r="BA40" i="1"/>
  <c r="AZ40" i="36"/>
  <c r="BA52" i="3"/>
  <c r="BA52" i="36" s="1"/>
  <c r="AZ52" i="36"/>
  <c r="BA51" i="3"/>
  <c r="BA51" i="36" s="1"/>
  <c r="AZ51" i="36"/>
  <c r="AZ41" i="36"/>
  <c r="BA40" i="3"/>
  <c r="BA41" i="36" s="1"/>
  <c r="BA50" i="3"/>
  <c r="BA50" i="36" s="1"/>
  <c r="AZ50" i="36"/>
  <c r="BA45" i="3"/>
  <c r="BA46" i="36" s="1"/>
  <c r="AZ46" i="36"/>
  <c r="AY55" i="36"/>
  <c r="AY53" i="36"/>
  <c r="AY51" i="36"/>
  <c r="AV35" i="7"/>
  <c r="AX68" i="36"/>
  <c r="AY68" i="7"/>
  <c r="AX58" i="36"/>
  <c r="AY58" i="7"/>
  <c r="AZ58" i="7" s="1"/>
  <c r="AY105" i="2"/>
  <c r="AX69" i="36"/>
  <c r="AY69" i="2"/>
  <c r="AZ69" i="2" s="1"/>
  <c r="AZ69" i="36" s="1"/>
  <c r="AY46" i="36"/>
  <c r="AX22" i="36"/>
  <c r="AY22" i="1"/>
  <c r="AZ22" i="1" s="1"/>
  <c r="AV37" i="1"/>
  <c r="AV101" i="5" s="1"/>
  <c r="AU101" i="5"/>
  <c r="AY41" i="36"/>
  <c r="AX66" i="36"/>
  <c r="AY66" i="7"/>
  <c r="AY48" i="36"/>
  <c r="AX44" i="36"/>
  <c r="AY44" i="1"/>
  <c r="AY44" i="36" s="1"/>
  <c r="AY40" i="36"/>
  <c r="AX45" i="36"/>
  <c r="AY44" i="3"/>
  <c r="AX64" i="36"/>
  <c r="AY64" i="7"/>
  <c r="AC25" i="35"/>
  <c r="AD24" i="35"/>
  <c r="AT108" i="36"/>
  <c r="AW107" i="36"/>
  <c r="AW22" i="36"/>
  <c r="AX53" i="36"/>
  <c r="AU105" i="2"/>
  <c r="AX50" i="7"/>
  <c r="AY50" i="7" s="1"/>
  <c r="AY50" i="36" s="1"/>
  <c r="AW50" i="36"/>
  <c r="AX49" i="7"/>
  <c r="AY49" i="7" s="1"/>
  <c r="AY49" i="36" s="1"/>
  <c r="AW49" i="36"/>
  <c r="AU103" i="1"/>
  <c r="AX67" i="1"/>
  <c r="AY67" i="1" s="1"/>
  <c r="AZ67" i="1" s="1"/>
  <c r="AW67" i="36"/>
  <c r="AX55" i="36"/>
  <c r="AX51" i="36"/>
  <c r="AX41" i="36"/>
  <c r="AX43" i="7"/>
  <c r="AY43" i="36" s="1"/>
  <c r="AW43" i="36"/>
  <c r="AU105" i="7"/>
  <c r="AX47" i="7"/>
  <c r="AW47" i="36"/>
  <c r="AT108" i="1"/>
  <c r="AX48" i="36"/>
  <c r="AU103" i="2"/>
  <c r="AX105" i="2"/>
  <c r="AX71" i="1"/>
  <c r="AW71" i="36"/>
  <c r="AX46" i="36"/>
  <c r="AX40" i="36"/>
  <c r="AW106" i="7"/>
  <c r="AX54" i="7"/>
  <c r="AY54" i="7" s="1"/>
  <c r="AY54" i="36" s="1"/>
  <c r="AX42" i="7"/>
  <c r="AU103" i="3"/>
  <c r="AU107" i="3"/>
  <c r="AU105" i="3"/>
  <c r="AV18" i="3"/>
  <c r="AU106" i="3"/>
  <c r="AV90" i="3"/>
  <c r="AV39" i="2"/>
  <c r="AX104" i="2"/>
  <c r="AX37" i="2" s="1"/>
  <c r="AV18" i="2"/>
  <c r="AU107" i="2"/>
  <c r="AU106" i="2"/>
  <c r="AN108" i="2"/>
  <c r="AU104" i="1"/>
  <c r="AW52" i="1"/>
  <c r="AU107" i="1"/>
  <c r="AU105" i="1"/>
  <c r="AW106" i="1"/>
  <c r="AX39" i="1"/>
  <c r="AU106" i="1"/>
  <c r="AW105" i="7"/>
  <c r="AV92" i="7"/>
  <c r="AV40" i="7"/>
  <c r="AX106" i="7"/>
  <c r="AV50" i="7"/>
  <c r="AU103" i="7"/>
  <c r="AV43" i="7"/>
  <c r="AW104" i="7"/>
  <c r="AW37" i="7" s="1"/>
  <c r="AW107" i="7"/>
  <c r="AU106" i="7"/>
  <c r="AT108" i="7"/>
  <c r="AU104" i="7"/>
  <c r="AW108" i="3"/>
  <c r="AT108" i="3"/>
  <c r="AX105" i="3"/>
  <c r="AX106" i="3"/>
  <c r="AU104" i="3"/>
  <c r="AX104" i="3"/>
  <c r="AX37" i="3" s="1"/>
  <c r="AU104" i="2"/>
  <c r="AC175" i="35"/>
  <c r="AC176" i="35" s="1"/>
  <c r="AW108" i="2"/>
  <c r="AZ105" i="1" l="1"/>
  <c r="AU108" i="1"/>
  <c r="AU108" i="7"/>
  <c r="AX50" i="36"/>
  <c r="AZ67" i="36"/>
  <c r="BA67" i="1"/>
  <c r="AY68" i="36"/>
  <c r="AZ68" i="7"/>
  <c r="BA40" i="36"/>
  <c r="BA105" i="1"/>
  <c r="AY64" i="36"/>
  <c r="AZ64" i="7"/>
  <c r="AY66" i="36"/>
  <c r="AZ66" i="7"/>
  <c r="BA58" i="7"/>
  <c r="AZ58" i="36"/>
  <c r="AY45" i="36"/>
  <c r="AZ44" i="3"/>
  <c r="BA22" i="1"/>
  <c r="AZ22" i="36"/>
  <c r="AY104" i="3"/>
  <c r="AY37" i="3" s="1"/>
  <c r="AY103" i="3" s="1"/>
  <c r="AY108" i="3" s="1"/>
  <c r="BA69" i="2"/>
  <c r="BA69" i="36" s="1"/>
  <c r="AZ106" i="2"/>
  <c r="AZ104" i="2"/>
  <c r="AX43" i="36"/>
  <c r="AY22" i="36"/>
  <c r="AX103" i="3"/>
  <c r="AX108" i="3" s="1"/>
  <c r="AX39" i="36"/>
  <c r="AY39" i="1"/>
  <c r="AX54" i="36"/>
  <c r="AY105" i="3"/>
  <c r="AY106" i="2"/>
  <c r="AY69" i="36"/>
  <c r="AY106" i="7"/>
  <c r="AY58" i="36"/>
  <c r="AX47" i="36"/>
  <c r="AY47" i="7"/>
  <c r="AY47" i="36" s="1"/>
  <c r="AY67" i="36"/>
  <c r="AU106" i="5"/>
  <c r="AU104" i="5"/>
  <c r="AU108" i="5" s="1"/>
  <c r="AX103" i="2"/>
  <c r="AX108" i="2" s="1"/>
  <c r="AX42" i="36"/>
  <c r="AY42" i="7"/>
  <c r="AX71" i="36"/>
  <c r="AY71" i="1"/>
  <c r="AZ71" i="1" s="1"/>
  <c r="AZ106" i="1" s="1"/>
  <c r="AY104" i="2"/>
  <c r="AY37" i="2" s="1"/>
  <c r="AC26" i="35"/>
  <c r="AD25" i="35"/>
  <c r="AX104" i="7"/>
  <c r="AX37" i="7" s="1"/>
  <c r="AX52" i="1"/>
  <c r="AY52" i="1" s="1"/>
  <c r="AY52" i="36" s="1"/>
  <c r="AW52" i="36"/>
  <c r="AW105" i="1"/>
  <c r="AX105" i="7"/>
  <c r="AW103" i="7"/>
  <c r="AW108" i="7" s="1"/>
  <c r="AX106" i="1"/>
  <c r="AX67" i="36"/>
  <c r="AX49" i="36"/>
  <c r="AU108" i="2"/>
  <c r="AU108" i="3"/>
  <c r="AW104" i="1"/>
  <c r="AS95" i="7"/>
  <c r="AS96" i="7"/>
  <c r="AS98" i="7"/>
  <c r="AS100" i="7"/>
  <c r="AS101" i="7"/>
  <c r="AS102" i="7"/>
  <c r="AS22" i="3"/>
  <c r="AS37" i="3"/>
  <c r="AS39" i="3"/>
  <c r="AS41" i="3"/>
  <c r="AS43" i="3"/>
  <c r="AS45" i="3"/>
  <c r="AS48" i="3"/>
  <c r="AS52" i="3"/>
  <c r="AS56" i="3"/>
  <c r="AS57" i="3"/>
  <c r="AS60" i="3"/>
  <c r="AS69" i="3"/>
  <c r="AS70" i="3"/>
  <c r="AS72" i="3"/>
  <c r="AS90" i="3"/>
  <c r="AS92" i="3"/>
  <c r="AS18" i="3"/>
  <c r="AZ104" i="1" l="1"/>
  <c r="AZ37" i="1" s="1"/>
  <c r="AZ103" i="1" s="1"/>
  <c r="AZ108" i="1" s="1"/>
  <c r="AY103" i="2"/>
  <c r="AY108" i="2" s="1"/>
  <c r="AZ106" i="7"/>
  <c r="AX105" i="1"/>
  <c r="AZ37" i="2"/>
  <c r="AZ103" i="2" s="1"/>
  <c r="AZ108" i="2" s="1"/>
  <c r="AY71" i="36"/>
  <c r="AW37" i="1"/>
  <c r="BA22" i="36"/>
  <c r="BA64" i="7"/>
  <c r="BA64" i="36" s="1"/>
  <c r="AZ64" i="36"/>
  <c r="BA67" i="36"/>
  <c r="BA58" i="36"/>
  <c r="BA68" i="7"/>
  <c r="BA68" i="36" s="1"/>
  <c r="AZ68" i="36"/>
  <c r="BA44" i="3"/>
  <c r="AZ45" i="36"/>
  <c r="AZ104" i="3"/>
  <c r="AZ105" i="3"/>
  <c r="AZ104" i="7"/>
  <c r="BA66" i="7"/>
  <c r="BA66" i="36" s="1"/>
  <c r="AZ66" i="36"/>
  <c r="BA106" i="2"/>
  <c r="BA104" i="2"/>
  <c r="BA37" i="2" s="1"/>
  <c r="BA103" i="2" s="1"/>
  <c r="BA108" i="2" s="1"/>
  <c r="AY105" i="7"/>
  <c r="AY42" i="36"/>
  <c r="AY104" i="7"/>
  <c r="AY37" i="7" s="1"/>
  <c r="AY103" i="7" s="1"/>
  <c r="AY39" i="36"/>
  <c r="AY105" i="1"/>
  <c r="AY104" i="1"/>
  <c r="AY37" i="1" s="1"/>
  <c r="AX103" i="7"/>
  <c r="AX108" i="7" s="1"/>
  <c r="AY106" i="1"/>
  <c r="AD26" i="35"/>
  <c r="AC27" i="35"/>
  <c r="AD27" i="35" s="1"/>
  <c r="AW105" i="36"/>
  <c r="AX104" i="1"/>
  <c r="AX37" i="1" s="1"/>
  <c r="AX101" i="5" s="1"/>
  <c r="AX52" i="36"/>
  <c r="AS3" i="5"/>
  <c r="AS4" i="5"/>
  <c r="AS6" i="5"/>
  <c r="AS9" i="5"/>
  <c r="AS11" i="5"/>
  <c r="AS12" i="5"/>
  <c r="AS13" i="5"/>
  <c r="AS14" i="5"/>
  <c r="AS15" i="5"/>
  <c r="AS16" i="5"/>
  <c r="AS17" i="5"/>
  <c r="AS18" i="5"/>
  <c r="AS19" i="5"/>
  <c r="AS22" i="5"/>
  <c r="AS24" i="5"/>
  <c r="AS25" i="5"/>
  <c r="AS27" i="5"/>
  <c r="AS28" i="5"/>
  <c r="AS29" i="5"/>
  <c r="AS30" i="5"/>
  <c r="AS33" i="5"/>
  <c r="AS35" i="5"/>
  <c r="AS39" i="5"/>
  <c r="AS40" i="5"/>
  <c r="AS41" i="5"/>
  <c r="AS42" i="5"/>
  <c r="AS43" i="5"/>
  <c r="AS44" i="5"/>
  <c r="AS46" i="5"/>
  <c r="AS48" i="5"/>
  <c r="AS49" i="5"/>
  <c r="AS50" i="5"/>
  <c r="AS51" i="5"/>
  <c r="AS52" i="5"/>
  <c r="AS56" i="5"/>
  <c r="AS57" i="5"/>
  <c r="AS59" i="5"/>
  <c r="AS60" i="5"/>
  <c r="AS61" i="5"/>
  <c r="AS65" i="5"/>
  <c r="AS66" i="5"/>
  <c r="AS67" i="5"/>
  <c r="AS68" i="5"/>
  <c r="AS69" i="5"/>
  <c r="AS70" i="5"/>
  <c r="AS72" i="5"/>
  <c r="AS73" i="5"/>
  <c r="AS75" i="5"/>
  <c r="AS76" i="5"/>
  <c r="AS77" i="5"/>
  <c r="AS78" i="5"/>
  <c r="AS79" i="5"/>
  <c r="AS80" i="5"/>
  <c r="AS81" i="5"/>
  <c r="AS82" i="5"/>
  <c r="AS83" i="5"/>
  <c r="AS87" i="5"/>
  <c r="AS88" i="5"/>
  <c r="AS90" i="5"/>
  <c r="AS92" i="5"/>
  <c r="AS93" i="5"/>
  <c r="AS100" i="5"/>
  <c r="AS2" i="5"/>
  <c r="AR3" i="5"/>
  <c r="AR4" i="5"/>
  <c r="AR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4" i="5"/>
  <c r="AR25" i="5"/>
  <c r="AR26" i="5"/>
  <c r="AR27" i="5"/>
  <c r="AR28" i="5"/>
  <c r="AR29" i="5"/>
  <c r="AR30" i="5"/>
  <c r="AR31" i="5"/>
  <c r="AR32" i="5"/>
  <c r="AR33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R59" i="5"/>
  <c r="AR60" i="5"/>
  <c r="AR61" i="5"/>
  <c r="AR64" i="5"/>
  <c r="AR65" i="5"/>
  <c r="AR66" i="5"/>
  <c r="AR67" i="5"/>
  <c r="AR68" i="5"/>
  <c r="AR69" i="5"/>
  <c r="AR70" i="5"/>
  <c r="AR71" i="5"/>
  <c r="AR72" i="5"/>
  <c r="AR73" i="5"/>
  <c r="AR74" i="5"/>
  <c r="AR75" i="5"/>
  <c r="AR76" i="5"/>
  <c r="AR77" i="5"/>
  <c r="AR78" i="5"/>
  <c r="AR79" i="5"/>
  <c r="AR80" i="5"/>
  <c r="AR81" i="5"/>
  <c r="AR82" i="5"/>
  <c r="AR83" i="5"/>
  <c r="AR84" i="5"/>
  <c r="AR85" i="5"/>
  <c r="AR86" i="5"/>
  <c r="AR87" i="5"/>
  <c r="AR88" i="5"/>
  <c r="AR89" i="5"/>
  <c r="AR90" i="5"/>
  <c r="AR91" i="5"/>
  <c r="AR92" i="5"/>
  <c r="AR93" i="5"/>
  <c r="AR94" i="5"/>
  <c r="AR95" i="5"/>
  <c r="AR96" i="5"/>
  <c r="AR98" i="5"/>
  <c r="AR100" i="5"/>
  <c r="AR2" i="5"/>
  <c r="AN107" i="5"/>
  <c r="AO107" i="5"/>
  <c r="AP107" i="5"/>
  <c r="AQ107" i="5"/>
  <c r="AN106" i="5"/>
  <c r="AO106" i="5"/>
  <c r="AP106" i="5"/>
  <c r="AQ106" i="5"/>
  <c r="AN105" i="5"/>
  <c r="AO105" i="5"/>
  <c r="AP105" i="5"/>
  <c r="AQ105" i="5"/>
  <c r="AN104" i="5"/>
  <c r="AO104" i="5"/>
  <c r="AP104" i="5"/>
  <c r="AQ104" i="5"/>
  <c r="AN103" i="5"/>
  <c r="AO103" i="5"/>
  <c r="AP103" i="5"/>
  <c r="AQ103" i="5"/>
  <c r="AB107" i="7"/>
  <c r="AC107" i="7"/>
  <c r="AD107" i="7"/>
  <c r="AF107" i="7"/>
  <c r="AG107" i="7"/>
  <c r="AJ107" i="7"/>
  <c r="AL107" i="7"/>
  <c r="AM107" i="7"/>
  <c r="AN107" i="7"/>
  <c r="AO107" i="7"/>
  <c r="AP107" i="7"/>
  <c r="AQ107" i="7"/>
  <c r="AB106" i="7"/>
  <c r="AC106" i="7"/>
  <c r="AD106" i="7"/>
  <c r="AF106" i="7"/>
  <c r="AG106" i="7"/>
  <c r="AJ106" i="7"/>
  <c r="AL106" i="7"/>
  <c r="AM106" i="7"/>
  <c r="AN106" i="7"/>
  <c r="AO106" i="7"/>
  <c r="AP106" i="7"/>
  <c r="AQ106" i="7"/>
  <c r="AB105" i="7"/>
  <c r="AC105" i="7"/>
  <c r="AD105" i="7"/>
  <c r="AF105" i="7"/>
  <c r="AG105" i="7"/>
  <c r="AI105" i="7"/>
  <c r="AJ105" i="7"/>
  <c r="AL105" i="7"/>
  <c r="AM105" i="7"/>
  <c r="AN105" i="7"/>
  <c r="AO105" i="7"/>
  <c r="AP105" i="7"/>
  <c r="AQ105" i="7"/>
  <c r="AB104" i="7"/>
  <c r="AC104" i="7"/>
  <c r="AD104" i="7"/>
  <c r="AF104" i="7"/>
  <c r="AG104" i="7"/>
  <c r="AJ104" i="7"/>
  <c r="AL104" i="7"/>
  <c r="AM104" i="7"/>
  <c r="AN104" i="7"/>
  <c r="AO104" i="7"/>
  <c r="AP104" i="7"/>
  <c r="AQ104" i="7"/>
  <c r="AF103" i="7"/>
  <c r="AG103" i="7"/>
  <c r="AI103" i="7"/>
  <c r="AJ103" i="7"/>
  <c r="AL103" i="7"/>
  <c r="AM103" i="7"/>
  <c r="AN103" i="7"/>
  <c r="AO103" i="7"/>
  <c r="AP103" i="7"/>
  <c r="AQ103" i="7"/>
  <c r="AS37" i="7"/>
  <c r="AS39" i="7"/>
  <c r="AS40" i="7"/>
  <c r="AS41" i="7"/>
  <c r="AS43" i="7"/>
  <c r="AS45" i="7"/>
  <c r="AS46" i="7"/>
  <c r="AS48" i="7"/>
  <c r="AS50" i="7"/>
  <c r="AS52" i="7"/>
  <c r="AS56" i="7"/>
  <c r="AS57" i="7"/>
  <c r="AS60" i="7"/>
  <c r="AS61" i="7"/>
  <c r="AS65" i="7"/>
  <c r="AS69" i="7"/>
  <c r="AS70" i="7"/>
  <c r="AS72" i="7"/>
  <c r="AS73" i="7"/>
  <c r="AS92" i="7"/>
  <c r="AS93" i="7"/>
  <c r="AR19" i="7"/>
  <c r="AR20" i="7"/>
  <c r="AR21" i="7"/>
  <c r="AR24" i="7"/>
  <c r="AR25" i="7"/>
  <c r="AR26" i="7"/>
  <c r="AR27" i="7"/>
  <c r="AR28" i="7"/>
  <c r="AR29" i="7"/>
  <c r="AR30" i="7"/>
  <c r="AR31" i="7"/>
  <c r="AR32" i="7"/>
  <c r="AR33" i="7"/>
  <c r="AR36" i="7"/>
  <c r="AR37" i="7"/>
  <c r="AR38" i="7"/>
  <c r="AR39" i="7"/>
  <c r="AR40" i="7"/>
  <c r="AR41" i="7"/>
  <c r="AR42" i="7"/>
  <c r="AR43" i="7"/>
  <c r="AR45" i="7"/>
  <c r="AR46" i="7"/>
  <c r="AR47" i="7"/>
  <c r="AR48" i="7"/>
  <c r="AR49" i="7"/>
  <c r="AR50" i="7"/>
  <c r="AR52" i="7"/>
  <c r="AR53" i="7"/>
  <c r="AR54" i="7"/>
  <c r="AR55" i="7"/>
  <c r="AR56" i="7"/>
  <c r="AR57" i="7"/>
  <c r="AR58" i="7"/>
  <c r="AR60" i="7"/>
  <c r="AR61" i="7"/>
  <c r="AR64" i="7"/>
  <c r="AR65" i="7"/>
  <c r="AR66" i="7"/>
  <c r="AR67" i="7"/>
  <c r="AR68" i="7"/>
  <c r="AR69" i="7"/>
  <c r="AR70" i="7"/>
  <c r="AR71" i="7"/>
  <c r="AR72" i="7"/>
  <c r="AR73" i="7"/>
  <c r="AR74" i="7"/>
  <c r="AR75" i="7"/>
  <c r="AR76" i="7"/>
  <c r="AR77" i="7"/>
  <c r="AR78" i="7"/>
  <c r="AR79" i="7"/>
  <c r="AR80" i="7"/>
  <c r="AR81" i="7"/>
  <c r="AR82" i="7"/>
  <c r="AR83" i="7"/>
  <c r="AR84" i="7"/>
  <c r="AR85" i="7"/>
  <c r="AR86" i="7"/>
  <c r="AR87" i="7"/>
  <c r="AR88" i="7"/>
  <c r="AR89" i="7"/>
  <c r="AR90" i="7"/>
  <c r="AR91" i="7"/>
  <c r="AR92" i="7"/>
  <c r="AR93" i="7"/>
  <c r="AR94" i="7"/>
  <c r="S19" i="37"/>
  <c r="AR19" i="3"/>
  <c r="AR20" i="3"/>
  <c r="AR21" i="3"/>
  <c r="AR22" i="3"/>
  <c r="AR24" i="3"/>
  <c r="AR25" i="3"/>
  <c r="AR26" i="3"/>
  <c r="AR27" i="3"/>
  <c r="AR28" i="3"/>
  <c r="AR29" i="3"/>
  <c r="AR31" i="3"/>
  <c r="AR32" i="3"/>
  <c r="AR33" i="3"/>
  <c r="AR36" i="3"/>
  <c r="AR37" i="3"/>
  <c r="AR38" i="3"/>
  <c r="AR39" i="3"/>
  <c r="AR40" i="3"/>
  <c r="AR41" i="3"/>
  <c r="AR42" i="3"/>
  <c r="AR43" i="3"/>
  <c r="AR45" i="3"/>
  <c r="AR48" i="3"/>
  <c r="AR49" i="3"/>
  <c r="AR52" i="3"/>
  <c r="AR53" i="3"/>
  <c r="AR54" i="3"/>
  <c r="AR56" i="3"/>
  <c r="AR57" i="3"/>
  <c r="AR58" i="3"/>
  <c r="AR60" i="3"/>
  <c r="AR67" i="3"/>
  <c r="AR68" i="3"/>
  <c r="AR69" i="3"/>
  <c r="AR70" i="3"/>
  <c r="AR71" i="3"/>
  <c r="AR72" i="3"/>
  <c r="AR74" i="3"/>
  <c r="AR75" i="3"/>
  <c r="AR76" i="3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4" i="3"/>
  <c r="AR95" i="3"/>
  <c r="AR96" i="3"/>
  <c r="AR98" i="3"/>
  <c r="AR100" i="3"/>
  <c r="AR101" i="3"/>
  <c r="AR18" i="3"/>
  <c r="AQ75" i="36"/>
  <c r="AP75" i="36"/>
  <c r="AN75" i="36"/>
  <c r="AQ3" i="36"/>
  <c r="AQ4" i="36"/>
  <c r="AQ6" i="36"/>
  <c r="AQ7" i="36"/>
  <c r="AQ8" i="36"/>
  <c r="AQ9" i="36"/>
  <c r="AQ10" i="36"/>
  <c r="AQ11" i="36"/>
  <c r="AQ12" i="36"/>
  <c r="AQ13" i="36"/>
  <c r="AQ14" i="36"/>
  <c r="AQ15" i="36"/>
  <c r="AQ16" i="36"/>
  <c r="AQ17" i="36"/>
  <c r="AQ18" i="36"/>
  <c r="AQ19" i="36"/>
  <c r="AQ20" i="36"/>
  <c r="AQ21" i="36"/>
  <c r="AQ22" i="36"/>
  <c r="AQ24" i="36"/>
  <c r="AQ25" i="36"/>
  <c r="AQ26" i="36"/>
  <c r="AQ27" i="36"/>
  <c r="AQ28" i="36"/>
  <c r="AQ29" i="36"/>
  <c r="AQ30" i="36"/>
  <c r="AQ31" i="36"/>
  <c r="AQ32" i="36"/>
  <c r="AQ33" i="36"/>
  <c r="AQ35" i="36"/>
  <c r="AQ36" i="36"/>
  <c r="AQ37" i="36"/>
  <c r="AQ38" i="36"/>
  <c r="AQ39" i="36"/>
  <c r="AQ40" i="36"/>
  <c r="AQ41" i="36"/>
  <c r="AQ42" i="36"/>
  <c r="AQ43" i="36"/>
  <c r="AQ44" i="36"/>
  <c r="AQ45" i="36"/>
  <c r="AQ46" i="36"/>
  <c r="AQ47" i="36"/>
  <c r="AQ48" i="36"/>
  <c r="AQ49" i="36"/>
  <c r="AQ50" i="36"/>
  <c r="AQ51" i="36"/>
  <c r="AQ52" i="36"/>
  <c r="AQ53" i="36"/>
  <c r="AQ54" i="36"/>
  <c r="AQ55" i="36"/>
  <c r="AQ56" i="36"/>
  <c r="AQ57" i="36"/>
  <c r="AQ58" i="36"/>
  <c r="AQ59" i="36"/>
  <c r="AQ60" i="36"/>
  <c r="AQ61" i="36"/>
  <c r="AQ64" i="36"/>
  <c r="AQ65" i="36"/>
  <c r="AQ66" i="36"/>
  <c r="AQ67" i="36"/>
  <c r="AQ68" i="36"/>
  <c r="AQ69" i="36"/>
  <c r="AQ70" i="36"/>
  <c r="AQ71" i="36"/>
  <c r="AQ72" i="36"/>
  <c r="AQ73" i="36"/>
  <c r="AQ74" i="36"/>
  <c r="AQ76" i="36"/>
  <c r="AQ77" i="36"/>
  <c r="AQ78" i="36"/>
  <c r="AQ79" i="36"/>
  <c r="AQ80" i="36"/>
  <c r="AQ81" i="36"/>
  <c r="AQ82" i="36"/>
  <c r="AQ83" i="36"/>
  <c r="AQ84" i="36"/>
  <c r="AQ85" i="36"/>
  <c r="AQ86" i="36"/>
  <c r="AQ87" i="36"/>
  <c r="AQ88" i="36"/>
  <c r="AQ89" i="36"/>
  <c r="AQ90" i="36"/>
  <c r="AQ91" i="36"/>
  <c r="AQ92" i="36"/>
  <c r="AQ93" i="36"/>
  <c r="AQ94" i="36"/>
  <c r="AQ95" i="36"/>
  <c r="AQ96" i="36"/>
  <c r="AQ98" i="36"/>
  <c r="AQ100" i="36"/>
  <c r="AQ101" i="36"/>
  <c r="AQ2" i="36"/>
  <c r="AP3" i="36"/>
  <c r="AP4" i="36"/>
  <c r="AP6" i="36"/>
  <c r="AP7" i="36"/>
  <c r="AP8" i="36"/>
  <c r="AP9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4" i="36"/>
  <c r="AP25" i="36"/>
  <c r="AP26" i="36"/>
  <c r="AR26" i="36" s="1"/>
  <c r="AP27" i="36"/>
  <c r="AP28" i="36"/>
  <c r="AP29" i="36"/>
  <c r="AP30" i="36"/>
  <c r="AP31" i="36"/>
  <c r="AP32" i="36"/>
  <c r="AP33" i="36"/>
  <c r="AP35" i="36"/>
  <c r="AP36" i="36"/>
  <c r="AP37" i="36"/>
  <c r="AP38" i="36"/>
  <c r="AP39" i="36"/>
  <c r="AU39" i="36" s="1"/>
  <c r="AP40" i="36"/>
  <c r="AP41" i="36"/>
  <c r="AP42" i="36"/>
  <c r="AP43" i="36"/>
  <c r="AP44" i="36"/>
  <c r="AP45" i="36"/>
  <c r="AP46" i="36"/>
  <c r="AP47" i="36"/>
  <c r="AP48" i="36"/>
  <c r="AP49" i="36"/>
  <c r="AP50" i="36"/>
  <c r="AP51" i="36"/>
  <c r="AP52" i="36"/>
  <c r="AP53" i="36"/>
  <c r="AR53" i="36" s="1"/>
  <c r="AP54" i="36"/>
  <c r="AP55" i="36"/>
  <c r="AP56" i="36"/>
  <c r="AP57" i="36"/>
  <c r="AP58" i="36"/>
  <c r="AP59" i="36"/>
  <c r="AP60" i="36"/>
  <c r="AP61" i="36"/>
  <c r="AP64" i="36"/>
  <c r="AP65" i="36"/>
  <c r="AP66" i="36"/>
  <c r="AP67" i="36"/>
  <c r="AP68" i="36"/>
  <c r="AR68" i="36" s="1"/>
  <c r="AP69" i="36"/>
  <c r="AP70" i="36"/>
  <c r="AP71" i="36"/>
  <c r="AP72" i="36"/>
  <c r="AP73" i="36"/>
  <c r="AP74" i="36"/>
  <c r="AP76" i="36"/>
  <c r="AP77" i="36"/>
  <c r="AP78" i="36"/>
  <c r="AR78" i="36" s="1"/>
  <c r="AP79" i="36"/>
  <c r="AP80" i="36"/>
  <c r="AR80" i="36" s="1"/>
  <c r="AP81" i="36"/>
  <c r="AP82" i="36"/>
  <c r="AP83" i="36"/>
  <c r="AP84" i="36"/>
  <c r="AP85" i="36"/>
  <c r="AP86" i="36"/>
  <c r="AP87" i="36"/>
  <c r="AP88" i="36"/>
  <c r="AP89" i="36"/>
  <c r="AP90" i="36"/>
  <c r="AP91" i="36"/>
  <c r="AR91" i="36" s="1"/>
  <c r="AP92" i="36"/>
  <c r="AP93" i="36"/>
  <c r="AP94" i="36"/>
  <c r="AR94" i="36" s="1"/>
  <c r="AP95" i="36"/>
  <c r="AP96" i="36"/>
  <c r="AP98" i="36"/>
  <c r="AP100" i="36"/>
  <c r="AP101" i="36"/>
  <c r="AP2" i="36"/>
  <c r="AS21" i="1"/>
  <c r="AS22" i="1"/>
  <c r="AS37" i="1"/>
  <c r="AS39" i="1"/>
  <c r="AS41" i="1"/>
  <c r="AS44" i="1"/>
  <c r="AS45" i="1"/>
  <c r="AS46" i="1"/>
  <c r="AS48" i="1"/>
  <c r="AS50" i="1"/>
  <c r="AS52" i="1"/>
  <c r="AS56" i="1"/>
  <c r="AS57" i="1"/>
  <c r="AS59" i="1"/>
  <c r="AS60" i="1"/>
  <c r="AS61" i="1"/>
  <c r="AS64" i="1"/>
  <c r="AS65" i="1"/>
  <c r="AS69" i="1"/>
  <c r="AS70" i="1"/>
  <c r="AS72" i="1"/>
  <c r="AS73" i="1"/>
  <c r="AS92" i="1"/>
  <c r="AS93" i="1"/>
  <c r="AS18" i="1"/>
  <c r="AR18" i="1"/>
  <c r="AR19" i="1"/>
  <c r="AR20" i="1"/>
  <c r="AR21" i="1"/>
  <c r="AR22" i="1"/>
  <c r="AR24" i="1"/>
  <c r="AR25" i="1"/>
  <c r="AR26" i="1"/>
  <c r="AR27" i="1"/>
  <c r="AR28" i="1"/>
  <c r="AR29" i="1"/>
  <c r="AR30" i="1"/>
  <c r="AR31" i="1"/>
  <c r="AR32" i="1"/>
  <c r="AR33" i="1"/>
  <c r="AR36" i="1"/>
  <c r="AR37" i="1"/>
  <c r="AR38" i="1"/>
  <c r="AR39" i="1"/>
  <c r="AR40" i="1"/>
  <c r="AR41" i="1"/>
  <c r="AR42" i="1"/>
  <c r="AR43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4" i="1"/>
  <c r="AR65" i="1"/>
  <c r="AR67" i="1"/>
  <c r="AR68" i="1"/>
  <c r="AR69" i="1"/>
  <c r="AR70" i="1"/>
  <c r="AR71" i="1"/>
  <c r="AR72" i="1"/>
  <c r="AR73" i="1"/>
  <c r="AR74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8" i="1"/>
  <c r="AR100" i="1"/>
  <c r="AR101" i="1"/>
  <c r="AR44" i="1"/>
  <c r="AS18" i="2"/>
  <c r="AS22" i="2"/>
  <c r="AS35" i="2"/>
  <c r="AS37" i="2"/>
  <c r="AS39" i="2"/>
  <c r="AS41" i="2"/>
  <c r="AS44" i="2"/>
  <c r="AS45" i="2"/>
  <c r="AS46" i="2"/>
  <c r="AS48" i="2"/>
  <c r="AS50" i="2"/>
  <c r="AS51" i="2"/>
  <c r="AS52" i="2"/>
  <c r="AS56" i="2"/>
  <c r="AS57" i="2"/>
  <c r="AS59" i="2"/>
  <c r="AS65" i="2"/>
  <c r="AS66" i="2"/>
  <c r="AS69" i="2"/>
  <c r="AS70" i="2"/>
  <c r="AS72" i="2"/>
  <c r="AS93" i="2"/>
  <c r="AR3" i="2"/>
  <c r="AR4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4" i="2"/>
  <c r="AR25" i="2"/>
  <c r="AR26" i="2"/>
  <c r="AR27" i="2"/>
  <c r="AR28" i="2"/>
  <c r="AR29" i="2"/>
  <c r="AR30" i="2"/>
  <c r="AR31" i="2"/>
  <c r="AR32" i="2"/>
  <c r="AR33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4" i="2"/>
  <c r="AR65" i="2"/>
  <c r="AR66" i="2"/>
  <c r="AR67" i="2"/>
  <c r="AR68" i="2"/>
  <c r="AR69" i="2"/>
  <c r="AR70" i="2"/>
  <c r="AR71" i="2"/>
  <c r="AR72" i="2"/>
  <c r="AR73" i="2"/>
  <c r="AR74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8" i="2"/>
  <c r="AR100" i="2"/>
  <c r="AR101" i="2"/>
  <c r="AR102" i="2"/>
  <c r="AR2" i="2"/>
  <c r="AR85" i="36" l="1"/>
  <c r="AR58" i="36"/>
  <c r="AR8" i="36"/>
  <c r="AR86" i="36"/>
  <c r="AR74" i="36"/>
  <c r="AR96" i="36"/>
  <c r="AR71" i="36"/>
  <c r="AR31" i="36"/>
  <c r="AY101" i="5"/>
  <c r="AZ37" i="3"/>
  <c r="AZ103" i="3" s="1"/>
  <c r="AZ108" i="3" s="1"/>
  <c r="AZ37" i="7"/>
  <c r="AZ103" i="7" s="1"/>
  <c r="AZ108" i="7" s="1"/>
  <c r="BA104" i="3"/>
  <c r="BA37" i="3" s="1"/>
  <c r="BA103" i="3" s="1"/>
  <c r="BA108" i="3" s="1"/>
  <c r="BA105" i="3"/>
  <c r="AW103" i="1"/>
  <c r="AW108" i="1" s="1"/>
  <c r="AW101" i="5"/>
  <c r="AW37" i="36"/>
  <c r="AW103" i="36" s="1"/>
  <c r="BA45" i="36"/>
  <c r="BA105" i="36" s="1"/>
  <c r="BA104" i="7"/>
  <c r="BA37" i="7" s="1"/>
  <c r="BA103" i="7" s="1"/>
  <c r="BA108" i="7" s="1"/>
  <c r="BA71" i="1"/>
  <c r="AZ71" i="36"/>
  <c r="AZ105" i="36"/>
  <c r="BA106" i="7"/>
  <c r="AS101" i="5"/>
  <c r="AR105" i="5"/>
  <c r="AX103" i="1"/>
  <c r="AX108" i="1" s="1"/>
  <c r="AY105" i="36"/>
  <c r="AR101" i="5"/>
  <c r="AR106" i="5" s="1"/>
  <c r="AS106" i="7"/>
  <c r="AS107" i="7"/>
  <c r="AS103" i="5"/>
  <c r="AS105" i="5"/>
  <c r="AS107" i="5"/>
  <c r="AX37" i="36"/>
  <c r="AX103" i="36" s="1"/>
  <c r="AY108" i="7"/>
  <c r="AR95" i="36"/>
  <c r="AR79" i="36"/>
  <c r="AR55" i="36"/>
  <c r="AR36" i="36"/>
  <c r="AR10" i="36"/>
  <c r="AR98" i="36"/>
  <c r="AR89" i="36"/>
  <c r="AR54" i="36"/>
  <c r="AR38" i="36"/>
  <c r="AR20" i="36"/>
  <c r="AO108" i="5"/>
  <c r="AP108" i="5"/>
  <c r="AR67" i="36"/>
  <c r="AR32" i="36"/>
  <c r="AR7" i="36"/>
  <c r="AR84" i="36"/>
  <c r="AN108" i="5"/>
  <c r="AS104" i="5"/>
  <c r="AS106" i="5"/>
  <c r="AQ108" i="5"/>
  <c r="AS103" i="2"/>
  <c r="AN108" i="7"/>
  <c r="AG108" i="7"/>
  <c r="AR107" i="5"/>
  <c r="AR103" i="5"/>
  <c r="AX105" i="36"/>
  <c r="AR103" i="2"/>
  <c r="AR106" i="3"/>
  <c r="AR107" i="3"/>
  <c r="AR105" i="3"/>
  <c r="AR104" i="3"/>
  <c r="AR103" i="3"/>
  <c r="AR88" i="36"/>
  <c r="AU88" i="36"/>
  <c r="AV88" i="36" s="1"/>
  <c r="AR61" i="36"/>
  <c r="AU61" i="36"/>
  <c r="AV61" i="36" s="1"/>
  <c r="AR45" i="36"/>
  <c r="AU45" i="36"/>
  <c r="AV45" i="36" s="1"/>
  <c r="AR37" i="36"/>
  <c r="AU37" i="36"/>
  <c r="AV37" i="36" s="1"/>
  <c r="AR28" i="36"/>
  <c r="AU28" i="36"/>
  <c r="AV28" i="36" s="1"/>
  <c r="AR19" i="36"/>
  <c r="AU19" i="36"/>
  <c r="AV19" i="36" s="1"/>
  <c r="AR15" i="36"/>
  <c r="AU15" i="36"/>
  <c r="AV15" i="36" s="1"/>
  <c r="AR101" i="36"/>
  <c r="AU101" i="36"/>
  <c r="AV101" i="36" s="1"/>
  <c r="AR87" i="36"/>
  <c r="AU87" i="36"/>
  <c r="AV87" i="36" s="1"/>
  <c r="AR83" i="36"/>
  <c r="AU83" i="36"/>
  <c r="AV83" i="36" s="1"/>
  <c r="AR70" i="36"/>
  <c r="AU70" i="36"/>
  <c r="AV70" i="36" s="1"/>
  <c r="AR66" i="36"/>
  <c r="AU66" i="36"/>
  <c r="AV66" i="36" s="1"/>
  <c r="AR60" i="36"/>
  <c r="AU60" i="36"/>
  <c r="AV60" i="36" s="1"/>
  <c r="AR56" i="36"/>
  <c r="AU56" i="36"/>
  <c r="AV56" i="36" s="1"/>
  <c r="AR52" i="36"/>
  <c r="AU52" i="36"/>
  <c r="AV52" i="36" s="1"/>
  <c r="AR48" i="36"/>
  <c r="AU48" i="36"/>
  <c r="AV48" i="36" s="1"/>
  <c r="AR44" i="36"/>
  <c r="AU44" i="36"/>
  <c r="AV44" i="36" s="1"/>
  <c r="AR40" i="36"/>
  <c r="AU40" i="36"/>
  <c r="AV40" i="36" s="1"/>
  <c r="AR27" i="36"/>
  <c r="AU27" i="36"/>
  <c r="AV27" i="36" s="1"/>
  <c r="AR22" i="36"/>
  <c r="AU22" i="36"/>
  <c r="AV22" i="36" s="1"/>
  <c r="AR18" i="36"/>
  <c r="AU18" i="36"/>
  <c r="AV18" i="36" s="1"/>
  <c r="AR14" i="36"/>
  <c r="AU14" i="36"/>
  <c r="AV14" i="36" s="1"/>
  <c r="AR6" i="36"/>
  <c r="AV6" i="36"/>
  <c r="AR75" i="36"/>
  <c r="AU75" i="36"/>
  <c r="AV75" i="36" s="1"/>
  <c r="AR2" i="36"/>
  <c r="AU2" i="36"/>
  <c r="AR92" i="36"/>
  <c r="AU92" i="36"/>
  <c r="AV92" i="36" s="1"/>
  <c r="AR76" i="36"/>
  <c r="AU76" i="36"/>
  <c r="AV76" i="36" s="1"/>
  <c r="AR57" i="36"/>
  <c r="AU57" i="36"/>
  <c r="AR49" i="36"/>
  <c r="AU49" i="36"/>
  <c r="AV49" i="36" s="1"/>
  <c r="AR41" i="36"/>
  <c r="AU41" i="36"/>
  <c r="AV41" i="36" s="1"/>
  <c r="AR24" i="36"/>
  <c r="AU24" i="36"/>
  <c r="AV24" i="36" s="1"/>
  <c r="AR11" i="36"/>
  <c r="AU11" i="36"/>
  <c r="AV11" i="36" s="1"/>
  <c r="AR100" i="36"/>
  <c r="AU100" i="36"/>
  <c r="AV100" i="36" s="1"/>
  <c r="AR90" i="36"/>
  <c r="AU90" i="36"/>
  <c r="AR82" i="36"/>
  <c r="AU82" i="36"/>
  <c r="AV82" i="36" s="1"/>
  <c r="AR73" i="36"/>
  <c r="AU73" i="36"/>
  <c r="AV73" i="36" s="1"/>
  <c r="AR69" i="36"/>
  <c r="AU69" i="36"/>
  <c r="AV69" i="36" s="1"/>
  <c r="AR65" i="36"/>
  <c r="AU65" i="36"/>
  <c r="AV65" i="36" s="1"/>
  <c r="AR59" i="36"/>
  <c r="AU59" i="36"/>
  <c r="AV59" i="36" s="1"/>
  <c r="AR51" i="36"/>
  <c r="AU51" i="36"/>
  <c r="AV51" i="36" s="1"/>
  <c r="AR47" i="36"/>
  <c r="AU47" i="36"/>
  <c r="AV47" i="36" s="1"/>
  <c r="AR43" i="36"/>
  <c r="AU43" i="36"/>
  <c r="AV43" i="36" s="1"/>
  <c r="AV39" i="36"/>
  <c r="AR35" i="36"/>
  <c r="AU35" i="36"/>
  <c r="AV35" i="36" s="1"/>
  <c r="AR30" i="36"/>
  <c r="AU30" i="36"/>
  <c r="AV30" i="36" s="1"/>
  <c r="AR21" i="36"/>
  <c r="AV21" i="36"/>
  <c r="AR17" i="36"/>
  <c r="AU17" i="36"/>
  <c r="AV17" i="36" s="1"/>
  <c r="AR13" i="36"/>
  <c r="AU13" i="36"/>
  <c r="AV13" i="36" s="1"/>
  <c r="AR9" i="36"/>
  <c r="AU9" i="36"/>
  <c r="AV9" i="36" s="1"/>
  <c r="AR4" i="36"/>
  <c r="AU4" i="36"/>
  <c r="AV4" i="36" s="1"/>
  <c r="AR93" i="36"/>
  <c r="AU93" i="36"/>
  <c r="AV93" i="36" s="1"/>
  <c r="AR81" i="36"/>
  <c r="AU81" i="36"/>
  <c r="AV81" i="36" s="1"/>
  <c r="AR77" i="36"/>
  <c r="AU77" i="36"/>
  <c r="AV77" i="36" s="1"/>
  <c r="AR72" i="36"/>
  <c r="AU72" i="36"/>
  <c r="AV72" i="36" s="1"/>
  <c r="AR64" i="36"/>
  <c r="AU64" i="36"/>
  <c r="AV64" i="36" s="1"/>
  <c r="AR50" i="36"/>
  <c r="AU50" i="36"/>
  <c r="AV50" i="36" s="1"/>
  <c r="AR46" i="36"/>
  <c r="AU46" i="36"/>
  <c r="AV46" i="36" s="1"/>
  <c r="AR42" i="36"/>
  <c r="AU42" i="36"/>
  <c r="AV42" i="36" s="1"/>
  <c r="AR33" i="36"/>
  <c r="AV33" i="36"/>
  <c r="AR29" i="36"/>
  <c r="AU29" i="36"/>
  <c r="AV29" i="36" s="1"/>
  <c r="AR25" i="36"/>
  <c r="AU25" i="36"/>
  <c r="AV25" i="36" s="1"/>
  <c r="AR16" i="36"/>
  <c r="AU16" i="36"/>
  <c r="AV16" i="36" s="1"/>
  <c r="AR12" i="36"/>
  <c r="AU12" i="36"/>
  <c r="AV12" i="36" s="1"/>
  <c r="AR3" i="36"/>
  <c r="AU3" i="36"/>
  <c r="AV3" i="36" s="1"/>
  <c r="AR107" i="2"/>
  <c r="AR104" i="2"/>
  <c r="AS105" i="2"/>
  <c r="AR106" i="2"/>
  <c r="AR105" i="2"/>
  <c r="AR104" i="1"/>
  <c r="AR106" i="1"/>
  <c r="AR103" i="1"/>
  <c r="AR107" i="1"/>
  <c r="AR105" i="1"/>
  <c r="AS59" i="36"/>
  <c r="AS75" i="36"/>
  <c r="AS105" i="7"/>
  <c r="AM108" i="7"/>
  <c r="AF108" i="7"/>
  <c r="AS2" i="36"/>
  <c r="AR103" i="7"/>
  <c r="AS51" i="36"/>
  <c r="AS39" i="36"/>
  <c r="AS30" i="36"/>
  <c r="AR105" i="7"/>
  <c r="AS103" i="7"/>
  <c r="AP108" i="7"/>
  <c r="AL108" i="7"/>
  <c r="AS15" i="36"/>
  <c r="AR104" i="7"/>
  <c r="AR106" i="7"/>
  <c r="AO108" i="7"/>
  <c r="AJ108" i="7"/>
  <c r="AS19" i="36"/>
  <c r="AS65" i="36"/>
  <c r="AS47" i="36"/>
  <c r="AS43" i="36"/>
  <c r="AS11" i="36"/>
  <c r="AS77" i="36"/>
  <c r="AS72" i="36"/>
  <c r="AS25" i="36"/>
  <c r="AS3" i="36"/>
  <c r="AQ108" i="7"/>
  <c r="AS104" i="7"/>
  <c r="AS50" i="36"/>
  <c r="AS42" i="36"/>
  <c r="AS33" i="36"/>
  <c r="AS12" i="36"/>
  <c r="AS92" i="36"/>
  <c r="AS61" i="36"/>
  <c r="AS45" i="36"/>
  <c r="AS37" i="36"/>
  <c r="AS28" i="36"/>
  <c r="AS87" i="36"/>
  <c r="AS83" i="36"/>
  <c r="AS70" i="36"/>
  <c r="AS66" i="36"/>
  <c r="AS60" i="36"/>
  <c r="AS56" i="36"/>
  <c r="AS52" i="36"/>
  <c r="AS48" i="36"/>
  <c r="AS44" i="36"/>
  <c r="AS40" i="36"/>
  <c r="AS27" i="36"/>
  <c r="AS22" i="36"/>
  <c r="AS18" i="36"/>
  <c r="AS14" i="36"/>
  <c r="AQ103" i="36"/>
  <c r="AS81" i="36"/>
  <c r="AS64" i="36"/>
  <c r="AS46" i="36"/>
  <c r="AS29" i="36"/>
  <c r="AS16" i="36"/>
  <c r="AS88" i="36"/>
  <c r="AS76" i="36"/>
  <c r="AS57" i="36"/>
  <c r="AS49" i="36"/>
  <c r="AS41" i="36"/>
  <c r="AS24" i="36"/>
  <c r="AP105" i="36"/>
  <c r="AS90" i="36"/>
  <c r="AS82" i="36"/>
  <c r="AS73" i="36"/>
  <c r="AS69" i="36"/>
  <c r="AQ105" i="36"/>
  <c r="AS35" i="36"/>
  <c r="AS21" i="36"/>
  <c r="AS17" i="36"/>
  <c r="AS13" i="36"/>
  <c r="AS9" i="36"/>
  <c r="AS4" i="36"/>
  <c r="AS107" i="2"/>
  <c r="AS100" i="36"/>
  <c r="AP103" i="36"/>
  <c r="AS106" i="2"/>
  <c r="AS104" i="2"/>
  <c r="AS108" i="2" s="1"/>
  <c r="AR39" i="36"/>
  <c r="AS6" i="36"/>
  <c r="AQ107" i="36"/>
  <c r="AS101" i="36"/>
  <c r="AP106" i="36"/>
  <c r="AP107" i="36"/>
  <c r="AQ104" i="36"/>
  <c r="AQ106" i="36"/>
  <c r="AS93" i="36"/>
  <c r="AP104" i="36"/>
  <c r="AR107" i="7"/>
  <c r="AQ107" i="3"/>
  <c r="AQ106" i="3"/>
  <c r="AQ105" i="3"/>
  <c r="AQ104" i="3"/>
  <c r="AQ103" i="3"/>
  <c r="AL107" i="3"/>
  <c r="AM107" i="3"/>
  <c r="AP107" i="3"/>
  <c r="AL106" i="3"/>
  <c r="AM106" i="3"/>
  <c r="AP106" i="3"/>
  <c r="AL105" i="3"/>
  <c r="AM105" i="3"/>
  <c r="AP105" i="3"/>
  <c r="AL104" i="3"/>
  <c r="AM104" i="3"/>
  <c r="AP104" i="3"/>
  <c r="AL103" i="3"/>
  <c r="AM103" i="3"/>
  <c r="AP103" i="3"/>
  <c r="BM106" i="5" l="1"/>
  <c r="BM104" i="5"/>
  <c r="AZ101" i="5"/>
  <c r="AR104" i="5"/>
  <c r="AR108" i="5" s="1"/>
  <c r="AR108" i="1"/>
  <c r="BA71" i="36"/>
  <c r="BA104" i="1"/>
  <c r="BA37" i="1" s="1"/>
  <c r="BA101" i="5" s="1"/>
  <c r="BA106" i="1"/>
  <c r="AZ37" i="36"/>
  <c r="AZ103" i="36" s="1"/>
  <c r="AW104" i="5"/>
  <c r="AW108" i="5" s="1"/>
  <c r="AW106" i="5"/>
  <c r="AW101" i="36"/>
  <c r="AX104" i="5"/>
  <c r="AX108" i="5" s="1"/>
  <c r="AX106" i="5"/>
  <c r="AX101" i="36"/>
  <c r="AY37" i="36"/>
  <c r="AY103" i="36" s="1"/>
  <c r="AY103" i="1"/>
  <c r="AY108" i="1" s="1"/>
  <c r="AS106" i="36"/>
  <c r="AR107" i="36"/>
  <c r="AM108" i="3"/>
  <c r="AR108" i="2"/>
  <c r="AL108" i="3"/>
  <c r="AR103" i="36"/>
  <c r="AS107" i="3"/>
  <c r="AR105" i="36"/>
  <c r="AR106" i="36"/>
  <c r="AU106" i="36"/>
  <c r="AV57" i="36"/>
  <c r="AU104" i="36"/>
  <c r="AU103" i="36"/>
  <c r="AV2" i="36"/>
  <c r="AV90" i="36"/>
  <c r="AU107" i="36"/>
  <c r="AU105" i="36"/>
  <c r="AQ108" i="3"/>
  <c r="AS103" i="3"/>
  <c r="AS104" i="3"/>
  <c r="AS105" i="3"/>
  <c r="AP108" i="3"/>
  <c r="AS106" i="3"/>
  <c r="AR108" i="7"/>
  <c r="AP108" i="36"/>
  <c r="AS105" i="36"/>
  <c r="AS103" i="36"/>
  <c r="AR104" i="36"/>
  <c r="AS107" i="36"/>
  <c r="AQ108" i="36"/>
  <c r="AS104" i="36"/>
  <c r="AP107" i="2"/>
  <c r="AQ107" i="2"/>
  <c r="AP106" i="2"/>
  <c r="AQ106" i="2"/>
  <c r="AP105" i="2"/>
  <c r="AQ105" i="2"/>
  <c r="AP104" i="2"/>
  <c r="AQ104" i="2"/>
  <c r="AP103" i="2"/>
  <c r="AQ103" i="2"/>
  <c r="BM106" i="36" l="1"/>
  <c r="BM104" i="36"/>
  <c r="AW106" i="36"/>
  <c r="AW104" i="36"/>
  <c r="AW108" i="36" s="1"/>
  <c r="AZ101" i="36"/>
  <c r="BA37" i="36"/>
  <c r="BA103" i="36" s="1"/>
  <c r="BA103" i="1"/>
  <c r="BA108" i="1" s="1"/>
  <c r="AX106" i="36"/>
  <c r="AX104" i="36"/>
  <c r="AX108" i="36" s="1"/>
  <c r="AY101" i="36"/>
  <c r="AR108" i="36"/>
  <c r="AU108" i="36"/>
  <c r="AP108" i="2"/>
  <c r="AQ108" i="2"/>
  <c r="AP107" i="1"/>
  <c r="AQ107" i="1"/>
  <c r="AP106" i="1"/>
  <c r="AQ106" i="1"/>
  <c r="AP105" i="1"/>
  <c r="AQ105" i="1"/>
  <c r="AP104" i="1"/>
  <c r="AQ104" i="1"/>
  <c r="AP103" i="1"/>
  <c r="AQ103" i="1"/>
  <c r="BA101" i="36" l="1"/>
  <c r="AP108" i="1"/>
  <c r="AQ108" i="1"/>
  <c r="AN3" i="36"/>
  <c r="AN4" i="36"/>
  <c r="AN6" i="36"/>
  <c r="AN7" i="36"/>
  <c r="AN8" i="36"/>
  <c r="AN9" i="36"/>
  <c r="AN10" i="36"/>
  <c r="AN11" i="36"/>
  <c r="AN12" i="36"/>
  <c r="AN13" i="36"/>
  <c r="AN14" i="36"/>
  <c r="AN15" i="36"/>
  <c r="AN16" i="36"/>
  <c r="AN17" i="36"/>
  <c r="AN18" i="36"/>
  <c r="AN19" i="36"/>
  <c r="AN20" i="36"/>
  <c r="AN21" i="36"/>
  <c r="AN22" i="36"/>
  <c r="AN24" i="36"/>
  <c r="AN25" i="36"/>
  <c r="AN26" i="36"/>
  <c r="AN27" i="36"/>
  <c r="AN28" i="36"/>
  <c r="AN29" i="36"/>
  <c r="AN30" i="36"/>
  <c r="AN31" i="36"/>
  <c r="AN32" i="36"/>
  <c r="AN33" i="36"/>
  <c r="AN35" i="36"/>
  <c r="AN36" i="36"/>
  <c r="AN37" i="36"/>
  <c r="AN38" i="36"/>
  <c r="AN39" i="36"/>
  <c r="AN40" i="36"/>
  <c r="AN41" i="36"/>
  <c r="AN42" i="36"/>
  <c r="AN43" i="36"/>
  <c r="AN44" i="36"/>
  <c r="AN45" i="36"/>
  <c r="AN46" i="36"/>
  <c r="AN47" i="36"/>
  <c r="AN48" i="36"/>
  <c r="AN49" i="36"/>
  <c r="AN50" i="36"/>
  <c r="AN51" i="36"/>
  <c r="AN52" i="36"/>
  <c r="AN53" i="36"/>
  <c r="AN54" i="36"/>
  <c r="AN55" i="36"/>
  <c r="AN56" i="36"/>
  <c r="AN57" i="36"/>
  <c r="AN58" i="36"/>
  <c r="AN59" i="36"/>
  <c r="AN60" i="36"/>
  <c r="AN61" i="36"/>
  <c r="AN64" i="36"/>
  <c r="AN65" i="36"/>
  <c r="AN66" i="36"/>
  <c r="AN67" i="36"/>
  <c r="AN68" i="36"/>
  <c r="AN69" i="36"/>
  <c r="AN70" i="36"/>
  <c r="AN71" i="36"/>
  <c r="AN72" i="36"/>
  <c r="AN73" i="36"/>
  <c r="AN74" i="36"/>
  <c r="AN76" i="36"/>
  <c r="AN77" i="36"/>
  <c r="AN78" i="36"/>
  <c r="AN79" i="36"/>
  <c r="AN80" i="36"/>
  <c r="AN81" i="36"/>
  <c r="AN82" i="36"/>
  <c r="AN83" i="36"/>
  <c r="AN84" i="36"/>
  <c r="AN85" i="36"/>
  <c r="AN86" i="36"/>
  <c r="AN87" i="36"/>
  <c r="AN88" i="36"/>
  <c r="AN89" i="36"/>
  <c r="AN90" i="36"/>
  <c r="AN91" i="36"/>
  <c r="AN92" i="36"/>
  <c r="AN93" i="36"/>
  <c r="AN94" i="36"/>
  <c r="AN95" i="36"/>
  <c r="AN96" i="36"/>
  <c r="AN98" i="36"/>
  <c r="AN100" i="36"/>
  <c r="AN101" i="36"/>
  <c r="AN2" i="36"/>
  <c r="AO3" i="36"/>
  <c r="AO4" i="36"/>
  <c r="AO6" i="36"/>
  <c r="AO7" i="36"/>
  <c r="AO8" i="36"/>
  <c r="AO9" i="36"/>
  <c r="AO10" i="36"/>
  <c r="AO11" i="36"/>
  <c r="AO12" i="36"/>
  <c r="AO13" i="36"/>
  <c r="AO14" i="36"/>
  <c r="AO15" i="36"/>
  <c r="AO16" i="36"/>
  <c r="AO17" i="36"/>
  <c r="AO18" i="36"/>
  <c r="AO19" i="36"/>
  <c r="AO20" i="36"/>
  <c r="AO21" i="36"/>
  <c r="AO22" i="36"/>
  <c r="AO24" i="36"/>
  <c r="AO25" i="36"/>
  <c r="AO26" i="36"/>
  <c r="AO27" i="36"/>
  <c r="AO28" i="36"/>
  <c r="AO29" i="36"/>
  <c r="AO30" i="36"/>
  <c r="AO31" i="36"/>
  <c r="AO32" i="36"/>
  <c r="AO33" i="36"/>
  <c r="AO35" i="36"/>
  <c r="AO36" i="36"/>
  <c r="AO37" i="36"/>
  <c r="AO38" i="36"/>
  <c r="AO39" i="36"/>
  <c r="AO40" i="36"/>
  <c r="AO41" i="36"/>
  <c r="AO42" i="36"/>
  <c r="AO43" i="36"/>
  <c r="AO44" i="36"/>
  <c r="AO45" i="36"/>
  <c r="AO46" i="36"/>
  <c r="AO47" i="36"/>
  <c r="AO48" i="36"/>
  <c r="AO49" i="36"/>
  <c r="AO50" i="36"/>
  <c r="AO51" i="36"/>
  <c r="AO52" i="36"/>
  <c r="AO53" i="36"/>
  <c r="AO54" i="36"/>
  <c r="AO55" i="36"/>
  <c r="AO56" i="36"/>
  <c r="AO57" i="36"/>
  <c r="AO58" i="36"/>
  <c r="AO59" i="36"/>
  <c r="AO60" i="36"/>
  <c r="AO61" i="36"/>
  <c r="AO64" i="36"/>
  <c r="AO65" i="36"/>
  <c r="AO66" i="36"/>
  <c r="AO67" i="36"/>
  <c r="AO68" i="36"/>
  <c r="AO69" i="36"/>
  <c r="AO70" i="36"/>
  <c r="AO71" i="36"/>
  <c r="AO72" i="36"/>
  <c r="AO73" i="36"/>
  <c r="AO74" i="36"/>
  <c r="AO76" i="36"/>
  <c r="AO77" i="36"/>
  <c r="AO78" i="36"/>
  <c r="AO79" i="36"/>
  <c r="AO80" i="36"/>
  <c r="AO81" i="36"/>
  <c r="AO82" i="36"/>
  <c r="AO83" i="36"/>
  <c r="AO84" i="36"/>
  <c r="AO85" i="36"/>
  <c r="AO86" i="36"/>
  <c r="AO87" i="36"/>
  <c r="AO88" i="36"/>
  <c r="AO89" i="36"/>
  <c r="AO90" i="36"/>
  <c r="AO91" i="36"/>
  <c r="AO92" i="36"/>
  <c r="AO93" i="36"/>
  <c r="AO94" i="36"/>
  <c r="AO95" i="36"/>
  <c r="AO96" i="36"/>
  <c r="AO98" i="36"/>
  <c r="AO100" i="36"/>
  <c r="AO101" i="36"/>
  <c r="AO2" i="36"/>
  <c r="AN107" i="36" l="1"/>
  <c r="AO107" i="36"/>
  <c r="AN106" i="36"/>
  <c r="AO106" i="36"/>
  <c r="AN105" i="36"/>
  <c r="AO105" i="36"/>
  <c r="AO107" i="2"/>
  <c r="AO106" i="2"/>
  <c r="AO105" i="2"/>
  <c r="AO104" i="2"/>
  <c r="AO103" i="2"/>
  <c r="AO108" i="2" l="1"/>
  <c r="AO107" i="1"/>
  <c r="AO106" i="1"/>
  <c r="AO105" i="1"/>
  <c r="AO104" i="1"/>
  <c r="AO103" i="1"/>
  <c r="AO103" i="36" s="1"/>
  <c r="AM107" i="1"/>
  <c r="AN107" i="1"/>
  <c r="AM106" i="1"/>
  <c r="AN106" i="1"/>
  <c r="AM105" i="1"/>
  <c r="AN105" i="1"/>
  <c r="AM104" i="1"/>
  <c r="AN104" i="1"/>
  <c r="AM103" i="1"/>
  <c r="AN103" i="1"/>
  <c r="AN103" i="36" s="1"/>
  <c r="AM108" i="1" l="1"/>
  <c r="AO108" i="1"/>
  <c r="AO104" i="36"/>
  <c r="AO108" i="36" s="1"/>
  <c r="AO111" i="36" s="1"/>
  <c r="AN108" i="1"/>
  <c r="AN104" i="36"/>
  <c r="AN108" i="36" s="1"/>
  <c r="AN111" i="36" s="1"/>
  <c r="AK11" i="5"/>
  <c r="AL107" i="36" l="1"/>
  <c r="AL106" i="36"/>
  <c r="AL105" i="36"/>
  <c r="AM3" i="36" l="1"/>
  <c r="AM4" i="36"/>
  <c r="AM6" i="36"/>
  <c r="AM7" i="36"/>
  <c r="AM8" i="36"/>
  <c r="AM9" i="36"/>
  <c r="AM10" i="36"/>
  <c r="AM11" i="36"/>
  <c r="AM12" i="36"/>
  <c r="AM13" i="36"/>
  <c r="AM14" i="36"/>
  <c r="AM15" i="36"/>
  <c r="AM16" i="36"/>
  <c r="AM17" i="36"/>
  <c r="AM18" i="36"/>
  <c r="AM19" i="36"/>
  <c r="AM20" i="36"/>
  <c r="AM21" i="36"/>
  <c r="AM22" i="36"/>
  <c r="AM24" i="36"/>
  <c r="AM25" i="36"/>
  <c r="AM26" i="36"/>
  <c r="AM27" i="36"/>
  <c r="AM28" i="36"/>
  <c r="AM29" i="36"/>
  <c r="AM30" i="36"/>
  <c r="AM31" i="36"/>
  <c r="AM32" i="36"/>
  <c r="AM33" i="36"/>
  <c r="AM35" i="36"/>
  <c r="AM36" i="36"/>
  <c r="AM37" i="36"/>
  <c r="AM38" i="36"/>
  <c r="AM39" i="36"/>
  <c r="AM40" i="36"/>
  <c r="AM41" i="36"/>
  <c r="AM42" i="36"/>
  <c r="AM43" i="36"/>
  <c r="AM44" i="36"/>
  <c r="AM45" i="36"/>
  <c r="AM46" i="36"/>
  <c r="AM47" i="36"/>
  <c r="AM48" i="36"/>
  <c r="AM49" i="36"/>
  <c r="AM50" i="36"/>
  <c r="AM51" i="36"/>
  <c r="AM52" i="36"/>
  <c r="AM53" i="36"/>
  <c r="AM54" i="36"/>
  <c r="AM55" i="36"/>
  <c r="AM56" i="36"/>
  <c r="AM57" i="36"/>
  <c r="AM58" i="36"/>
  <c r="AM59" i="36"/>
  <c r="AM60" i="36"/>
  <c r="AM61" i="36"/>
  <c r="AM64" i="36"/>
  <c r="AM65" i="36"/>
  <c r="AM66" i="36"/>
  <c r="AM67" i="36"/>
  <c r="AM68" i="36"/>
  <c r="AM69" i="36"/>
  <c r="AM70" i="36"/>
  <c r="AM71" i="36"/>
  <c r="AM72" i="36"/>
  <c r="AM73" i="36"/>
  <c r="AM74" i="36"/>
  <c r="AM76" i="36"/>
  <c r="AM77" i="36"/>
  <c r="AM78" i="36"/>
  <c r="AM79" i="36"/>
  <c r="AM80" i="36"/>
  <c r="AM81" i="36"/>
  <c r="AM82" i="36"/>
  <c r="AM83" i="36"/>
  <c r="AM84" i="36"/>
  <c r="AM85" i="36"/>
  <c r="AM86" i="36"/>
  <c r="AM87" i="36"/>
  <c r="AM88" i="36"/>
  <c r="AM89" i="36"/>
  <c r="AM90" i="36"/>
  <c r="AM91" i="36"/>
  <c r="AM92" i="36"/>
  <c r="AM93" i="36"/>
  <c r="AM94" i="36"/>
  <c r="AM95" i="36"/>
  <c r="AM96" i="36"/>
  <c r="AM98" i="36"/>
  <c r="AM100" i="36"/>
  <c r="AM101" i="36"/>
  <c r="AM2" i="36"/>
  <c r="AL2" i="36"/>
  <c r="AL107" i="5"/>
  <c r="AM107" i="5"/>
  <c r="AL106" i="5"/>
  <c r="AM106" i="5"/>
  <c r="AL105" i="5"/>
  <c r="AM105" i="5"/>
  <c r="AL104" i="5"/>
  <c r="AM104" i="5"/>
  <c r="AL103" i="5"/>
  <c r="AM103" i="5"/>
  <c r="AL107" i="2"/>
  <c r="AM107" i="2"/>
  <c r="AL106" i="2"/>
  <c r="AM106" i="2"/>
  <c r="AL105" i="2"/>
  <c r="AM105" i="2"/>
  <c r="AL104" i="2"/>
  <c r="AM104" i="2"/>
  <c r="AL103" i="2"/>
  <c r="AM103" i="2"/>
  <c r="AL108" i="5" l="1"/>
  <c r="AM108" i="2"/>
  <c r="AM103" i="36"/>
  <c r="AM105" i="36"/>
  <c r="AL103" i="36"/>
  <c r="AM104" i="36"/>
  <c r="AL104" i="36"/>
  <c r="AL108" i="2"/>
  <c r="AM107" i="36"/>
  <c r="AM108" i="5"/>
  <c r="AM106" i="36"/>
  <c r="AL39" i="1"/>
  <c r="Z77" i="35"/>
  <c r="AM108" i="36" l="1"/>
  <c r="AM111" i="36" s="1"/>
  <c r="AL108" i="36"/>
  <c r="AL111" i="36" s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4" i="1"/>
  <c r="AH65" i="1"/>
  <c r="AH66" i="1"/>
  <c r="AH67" i="1"/>
  <c r="AH68" i="1"/>
  <c r="AH69" i="1"/>
  <c r="AH70" i="1"/>
  <c r="AH71" i="1"/>
  <c r="AH72" i="1"/>
  <c r="AH73" i="1"/>
  <c r="AH74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8" i="1"/>
  <c r="AH100" i="1"/>
  <c r="AH101" i="1"/>
  <c r="AH2" i="1"/>
  <c r="AH3" i="1"/>
  <c r="AH4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4" i="1"/>
  <c r="AH25" i="1"/>
  <c r="AH26" i="1"/>
  <c r="AH27" i="1"/>
  <c r="AH28" i="1"/>
  <c r="AH29" i="1"/>
  <c r="AH30" i="1"/>
  <c r="AH31" i="1"/>
  <c r="AH32" i="1"/>
  <c r="AH33" i="1"/>
  <c r="AH35" i="1"/>
  <c r="AH36" i="1"/>
  <c r="AH37" i="1"/>
  <c r="AL107" i="1"/>
  <c r="AH105" i="1" l="1"/>
  <c r="AH103" i="1"/>
  <c r="AH107" i="1"/>
  <c r="AH104" i="1"/>
  <c r="AH106" i="1"/>
  <c r="AK39" i="5"/>
  <c r="AK39" i="7"/>
  <c r="AH108" i="1" l="1"/>
  <c r="AK33" i="5"/>
  <c r="Y48" i="35" l="1"/>
  <c r="Y14" i="35"/>
  <c r="Z14" i="35"/>
  <c r="AK92" i="3" s="1"/>
  <c r="AK93" i="3" s="1"/>
  <c r="Y124" i="35"/>
  <c r="Z124" i="35"/>
  <c r="Z67" i="35"/>
  <c r="AK92" i="7" s="1"/>
  <c r="Z48" i="35"/>
  <c r="AK90" i="2" s="1"/>
  <c r="Y143" i="35"/>
  <c r="Y144" i="35"/>
  <c r="Z144" i="35" s="1"/>
  <c r="Y145" i="35"/>
  <c r="Y146" i="35"/>
  <c r="Z146" i="35" s="1"/>
  <c r="Y147" i="35"/>
  <c r="Z147" i="35" s="1"/>
  <c r="Y148" i="35"/>
  <c r="Z148" i="35" s="1"/>
  <c r="Y149" i="35"/>
  <c r="Z149" i="35" s="1"/>
  <c r="Y150" i="35"/>
  <c r="Z150" i="35" s="1"/>
  <c r="Y151" i="35"/>
  <c r="Z151" i="35" s="1"/>
  <c r="Y152" i="35"/>
  <c r="Y153" i="35"/>
  <c r="Y154" i="35"/>
  <c r="Z154" i="35" s="1"/>
  <c r="Y155" i="35"/>
  <c r="Z155" i="35" s="1"/>
  <c r="Y156" i="35"/>
  <c r="Y157" i="35"/>
  <c r="Z157" i="35" s="1"/>
  <c r="Y158" i="35"/>
  <c r="Y159" i="35"/>
  <c r="Z159" i="35" s="1"/>
  <c r="Y160" i="35"/>
  <c r="Z160" i="35" s="1"/>
  <c r="Y161" i="35"/>
  <c r="Z161" i="35" s="1"/>
  <c r="Y162" i="35"/>
  <c r="Z162" i="35" s="1"/>
  <c r="Y163" i="35"/>
  <c r="Z163" i="35" s="1"/>
  <c r="Y164" i="35"/>
  <c r="Z164" i="35" s="1"/>
  <c r="Y165" i="35"/>
  <c r="Z165" i="35" s="1"/>
  <c r="Y166" i="35"/>
  <c r="Z166" i="35" s="1"/>
  <c r="Y170" i="35"/>
  <c r="Z170" i="35" s="1"/>
  <c r="Y142" i="35"/>
  <c r="Y135" i="35"/>
  <c r="Z135" i="35" s="1"/>
  <c r="Y129" i="35"/>
  <c r="Z129" i="35" s="1"/>
  <c r="Y130" i="35"/>
  <c r="Y131" i="35"/>
  <c r="Y132" i="35"/>
  <c r="Y133" i="35"/>
  <c r="Y128" i="35"/>
  <c r="Z128" i="35" s="1"/>
  <c r="Y113" i="35"/>
  <c r="Z113" i="35" s="1"/>
  <c r="Y114" i="35"/>
  <c r="Z114" i="35" s="1"/>
  <c r="Y116" i="35"/>
  <c r="Y117" i="35"/>
  <c r="Z117" i="35" s="1"/>
  <c r="Y118" i="35"/>
  <c r="Y119" i="35"/>
  <c r="Y120" i="35"/>
  <c r="Y121" i="35"/>
  <c r="Y122" i="35"/>
  <c r="Y123" i="35"/>
  <c r="Y112" i="35"/>
  <c r="Y173" i="35" l="1"/>
  <c r="AK93" i="7"/>
  <c r="Z173" i="35"/>
  <c r="AK90" i="5" l="1"/>
  <c r="Z175" i="35"/>
  <c r="AK93" i="5" l="1"/>
  <c r="Y67" i="35"/>
  <c r="Y175" i="35" s="1"/>
  <c r="AK93" i="2" l="1"/>
  <c r="AK93" i="36" s="1"/>
  <c r="AK3" i="5"/>
  <c r="AK2" i="5"/>
  <c r="AK109" i="36"/>
  <c r="AJ72" i="1"/>
  <c r="AI72" i="1"/>
  <c r="AJ52" i="1"/>
  <c r="AI52" i="1"/>
  <c r="AK3" i="1"/>
  <c r="AK4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L18" i="1" s="1"/>
  <c r="AK19" i="1"/>
  <c r="AK20" i="1"/>
  <c r="AK21" i="1"/>
  <c r="AK22" i="1"/>
  <c r="AK24" i="1"/>
  <c r="AK25" i="1"/>
  <c r="AK26" i="1"/>
  <c r="AK27" i="1"/>
  <c r="AK28" i="1"/>
  <c r="AK29" i="1"/>
  <c r="AK30" i="1"/>
  <c r="AK31" i="1"/>
  <c r="AK32" i="1"/>
  <c r="AK33" i="1"/>
  <c r="AK35" i="1"/>
  <c r="AK36" i="1"/>
  <c r="AK38" i="1"/>
  <c r="AK39" i="1"/>
  <c r="AK40" i="1"/>
  <c r="AK41" i="1"/>
  <c r="AK42" i="1"/>
  <c r="AK43" i="1"/>
  <c r="AK44" i="1"/>
  <c r="AK45" i="1"/>
  <c r="AK46" i="1"/>
  <c r="AL46" i="1" s="1"/>
  <c r="AK47" i="1"/>
  <c r="AK48" i="1"/>
  <c r="AK49" i="1"/>
  <c r="AK50" i="1"/>
  <c r="AK51" i="1"/>
  <c r="AK53" i="1"/>
  <c r="AK54" i="1"/>
  <c r="AK56" i="1"/>
  <c r="AL56" i="1" s="1"/>
  <c r="AK57" i="1"/>
  <c r="AL57" i="1" s="1"/>
  <c r="AK58" i="1"/>
  <c r="AL58" i="1" s="1"/>
  <c r="AK59" i="1"/>
  <c r="AL59" i="1" s="1"/>
  <c r="AK60" i="1"/>
  <c r="AK61" i="1"/>
  <c r="AK64" i="1"/>
  <c r="AL64" i="1" s="1"/>
  <c r="AK65" i="1"/>
  <c r="AL65" i="1" s="1"/>
  <c r="AK66" i="1"/>
  <c r="AK67" i="1"/>
  <c r="AL67" i="1" s="1"/>
  <c r="AK68" i="1"/>
  <c r="AK69" i="1"/>
  <c r="AK70" i="1"/>
  <c r="AK71" i="1"/>
  <c r="AL71" i="1" s="1"/>
  <c r="AK73" i="1"/>
  <c r="AK74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1" i="1"/>
  <c r="AK94" i="1"/>
  <c r="AK95" i="1"/>
  <c r="AK96" i="1"/>
  <c r="AK98" i="1"/>
  <c r="AK100" i="1"/>
  <c r="AK101" i="1"/>
  <c r="AK2" i="1"/>
  <c r="AK3" i="2"/>
  <c r="AK4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4" i="2"/>
  <c r="AK25" i="2"/>
  <c r="AK26" i="2"/>
  <c r="AK27" i="2"/>
  <c r="AK28" i="2"/>
  <c r="AK29" i="2"/>
  <c r="AK30" i="2"/>
  <c r="AK31" i="2"/>
  <c r="AK32" i="2"/>
  <c r="AK33" i="2"/>
  <c r="AK35" i="2"/>
  <c r="AK36" i="2"/>
  <c r="AK38" i="2"/>
  <c r="AK40" i="2"/>
  <c r="AK41" i="2"/>
  <c r="AK42" i="2"/>
  <c r="AK43" i="2"/>
  <c r="AK45" i="2"/>
  <c r="AK46" i="2"/>
  <c r="AK47" i="2"/>
  <c r="AK48" i="2"/>
  <c r="AK49" i="2"/>
  <c r="AK50" i="2"/>
  <c r="AK51" i="2"/>
  <c r="AK54" i="2"/>
  <c r="AK56" i="2"/>
  <c r="AK57" i="2"/>
  <c r="AK58" i="2"/>
  <c r="AK59" i="2"/>
  <c r="AK60" i="2"/>
  <c r="AK61" i="2"/>
  <c r="AK64" i="2"/>
  <c r="AK65" i="2"/>
  <c r="AK66" i="2"/>
  <c r="AK67" i="2"/>
  <c r="AK68" i="2"/>
  <c r="AK69" i="2"/>
  <c r="AK70" i="2"/>
  <c r="AK71" i="2"/>
  <c r="AK73" i="2"/>
  <c r="AK74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1" i="2"/>
  <c r="AK92" i="2"/>
  <c r="AK94" i="2"/>
  <c r="AK95" i="2"/>
  <c r="AK96" i="2"/>
  <c r="AK98" i="2"/>
  <c r="AK100" i="2"/>
  <c r="AK101" i="2"/>
  <c r="AK2" i="2"/>
  <c r="AJ103" i="3"/>
  <c r="AJ104" i="3"/>
  <c r="AJ105" i="3"/>
  <c r="AJ106" i="3"/>
  <c r="AJ107" i="3"/>
  <c r="AK18" i="3"/>
  <c r="AK30" i="3"/>
  <c r="AK43" i="3"/>
  <c r="AK46" i="3"/>
  <c r="AK48" i="3"/>
  <c r="AK50" i="3"/>
  <c r="AK56" i="3"/>
  <c r="AK57" i="3"/>
  <c r="AK59" i="3"/>
  <c r="AK60" i="3"/>
  <c r="AK66" i="3"/>
  <c r="AK69" i="3"/>
  <c r="AK70" i="3"/>
  <c r="AK71" i="3"/>
  <c r="AK76" i="3"/>
  <c r="AK90" i="3"/>
  <c r="AK3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4" i="7"/>
  <c r="AK25" i="7"/>
  <c r="AK26" i="7"/>
  <c r="AK27" i="7"/>
  <c r="AK28" i="7"/>
  <c r="AK29" i="7"/>
  <c r="AK30" i="7"/>
  <c r="AK31" i="7"/>
  <c r="AK32" i="7"/>
  <c r="AK33" i="7"/>
  <c r="AK35" i="7"/>
  <c r="AK36" i="7"/>
  <c r="AK38" i="7"/>
  <c r="AK40" i="7"/>
  <c r="AK41" i="7"/>
  <c r="AK42" i="7"/>
  <c r="AK43" i="7"/>
  <c r="AK45" i="7"/>
  <c r="AK46" i="7"/>
  <c r="AK47" i="7"/>
  <c r="AK48" i="7"/>
  <c r="AK49" i="7"/>
  <c r="AK50" i="7"/>
  <c r="AK51" i="7"/>
  <c r="AK54" i="7"/>
  <c r="AK90" i="7"/>
  <c r="AK91" i="7"/>
  <c r="AK2" i="7"/>
  <c r="AK27" i="5"/>
  <c r="AK36" i="5"/>
  <c r="AK37" i="5"/>
  <c r="AK47" i="5"/>
  <c r="AK92" i="5"/>
  <c r="AJ108" i="3" l="1"/>
  <c r="AK105" i="7"/>
  <c r="AK72" i="2"/>
  <c r="AK106" i="2" s="1"/>
  <c r="AK92" i="36"/>
  <c r="AK72" i="1"/>
  <c r="AK106" i="1" s="1"/>
  <c r="AK90" i="36"/>
  <c r="AK47" i="36"/>
  <c r="AK103" i="1"/>
  <c r="AK107" i="1"/>
  <c r="AL22" i="1"/>
  <c r="AK52" i="1"/>
  <c r="AK105" i="1" s="1"/>
  <c r="AL106" i="1"/>
  <c r="AL52" i="1"/>
  <c r="W35" i="32"/>
  <c r="AK104" i="1" l="1"/>
  <c r="AK108" i="1" s="1"/>
  <c r="AL104" i="1"/>
  <c r="AL105" i="1"/>
  <c r="AL103" i="1"/>
  <c r="AI30" i="5"/>
  <c r="AK30" i="5" s="1"/>
  <c r="AK30" i="36" s="1"/>
  <c r="AL108" i="1" l="1"/>
  <c r="AI22" i="5"/>
  <c r="AK22" i="5" s="1"/>
  <c r="X173" i="35"/>
  <c r="AH40" i="3" l="1"/>
  <c r="AH41" i="3"/>
  <c r="AH42" i="3"/>
  <c r="AH43" i="3"/>
  <c r="AH44" i="3"/>
  <c r="AH45" i="3"/>
  <c r="AH46" i="3"/>
  <c r="AH48" i="3"/>
  <c r="AH49" i="3"/>
  <c r="AH50" i="3"/>
  <c r="AH51" i="3"/>
  <c r="AH52" i="3"/>
  <c r="AH53" i="3"/>
  <c r="AH54" i="3"/>
  <c r="AH55" i="3"/>
  <c r="AH39" i="3"/>
  <c r="AI39" i="3" s="1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39" i="2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38" i="5"/>
  <c r="AI30" i="36" l="1"/>
  <c r="AI37" i="36"/>
  <c r="AI47" i="36"/>
  <c r="AB47" i="36"/>
  <c r="AC47" i="36"/>
  <c r="AD47" i="36"/>
  <c r="AF47" i="36" s="1"/>
  <c r="AE47" i="36"/>
  <c r="AG47" i="36"/>
  <c r="X14" i="35"/>
  <c r="AI92" i="3" s="1"/>
  <c r="R3" i="37"/>
  <c r="T3" i="37" s="1"/>
  <c r="R4" i="37"/>
  <c r="R6" i="37"/>
  <c r="T6" i="37" s="1"/>
  <c r="R7" i="37"/>
  <c r="R10" i="37"/>
  <c r="T10" i="37" s="1"/>
  <c r="R11" i="37"/>
  <c r="T11" i="37" s="1"/>
  <c r="R12" i="37"/>
  <c r="T12" i="37" s="1"/>
  <c r="R13" i="37"/>
  <c r="T13" i="37" s="1"/>
  <c r="R15" i="37"/>
  <c r="T15" i="37" s="1"/>
  <c r="R16" i="37"/>
  <c r="T16" i="37" s="1"/>
  <c r="X27" i="33"/>
  <c r="T19" i="37" l="1"/>
  <c r="AY87" i="5" s="1"/>
  <c r="R19" i="37"/>
  <c r="AI93" i="3"/>
  <c r="AZ87" i="5" l="1"/>
  <c r="AY87" i="36"/>
  <c r="AY106" i="5"/>
  <c r="AY104" i="5"/>
  <c r="AY108" i="5" s="1"/>
  <c r="AG109" i="36"/>
  <c r="AG101" i="5"/>
  <c r="AG2" i="36"/>
  <c r="AG3" i="36"/>
  <c r="AG4" i="36"/>
  <c r="AG6" i="36"/>
  <c r="AG7" i="36"/>
  <c r="AG8" i="36"/>
  <c r="AG9" i="36"/>
  <c r="AG10" i="36"/>
  <c r="AG11" i="36"/>
  <c r="AG12" i="36"/>
  <c r="AG13" i="36"/>
  <c r="AG14" i="36"/>
  <c r="AG15" i="36"/>
  <c r="AG16" i="36"/>
  <c r="AG17" i="36"/>
  <c r="AG18" i="36"/>
  <c r="AG19" i="36"/>
  <c r="AG20" i="36"/>
  <c r="AG21" i="36"/>
  <c r="AG22" i="36"/>
  <c r="AG24" i="36"/>
  <c r="AG25" i="36"/>
  <c r="AG26" i="36"/>
  <c r="AG27" i="36"/>
  <c r="AG28" i="36"/>
  <c r="AG29" i="36"/>
  <c r="AG30" i="36"/>
  <c r="AG31" i="36"/>
  <c r="AG32" i="36"/>
  <c r="AG33" i="36"/>
  <c r="AG35" i="36"/>
  <c r="AG36" i="36"/>
  <c r="AG37" i="36"/>
  <c r="AG101" i="36" s="1"/>
  <c r="AG38" i="36"/>
  <c r="AG39" i="36"/>
  <c r="AG40" i="36"/>
  <c r="AG41" i="36"/>
  <c r="AG42" i="36"/>
  <c r="AG43" i="36"/>
  <c r="AG44" i="36"/>
  <c r="AG45" i="36"/>
  <c r="AG46" i="36"/>
  <c r="AG48" i="36"/>
  <c r="AG49" i="36"/>
  <c r="AG50" i="36"/>
  <c r="AG51" i="36"/>
  <c r="AG52" i="36"/>
  <c r="AG53" i="36"/>
  <c r="AG54" i="36"/>
  <c r="AG55" i="36"/>
  <c r="AG56" i="36"/>
  <c r="AG57" i="36"/>
  <c r="AG58" i="36"/>
  <c r="AG59" i="36"/>
  <c r="AG60" i="36"/>
  <c r="AG61" i="36"/>
  <c r="AG64" i="36"/>
  <c r="AG65" i="36"/>
  <c r="AG66" i="36"/>
  <c r="AG67" i="36"/>
  <c r="AG68" i="36"/>
  <c r="AG69" i="36"/>
  <c r="AG70" i="36"/>
  <c r="AG71" i="36"/>
  <c r="AG72" i="36"/>
  <c r="AG73" i="36"/>
  <c r="AG74" i="36"/>
  <c r="AG76" i="36"/>
  <c r="AG77" i="36"/>
  <c r="AG78" i="36"/>
  <c r="AG79" i="36"/>
  <c r="AG80" i="36"/>
  <c r="AG81" i="36"/>
  <c r="AG82" i="36"/>
  <c r="AG83" i="36"/>
  <c r="AG84" i="36"/>
  <c r="AG85" i="36"/>
  <c r="AG86" i="36"/>
  <c r="AG87" i="36"/>
  <c r="AG88" i="36"/>
  <c r="AG89" i="36"/>
  <c r="AG90" i="36"/>
  <c r="AG91" i="36"/>
  <c r="AG92" i="36"/>
  <c r="AG93" i="36"/>
  <c r="AG94" i="36"/>
  <c r="AG95" i="36"/>
  <c r="AG96" i="36"/>
  <c r="AG98" i="36"/>
  <c r="AG100" i="36"/>
  <c r="AY104" i="36" l="1"/>
  <c r="AY108" i="36" s="1"/>
  <c r="AY106" i="36"/>
  <c r="BA87" i="5"/>
  <c r="AZ87" i="36"/>
  <c r="AZ104" i="5"/>
  <c r="AZ108" i="5" s="1"/>
  <c r="AZ106" i="5"/>
  <c r="AG105" i="36"/>
  <c r="AG107" i="36"/>
  <c r="AG106" i="36"/>
  <c r="AI101" i="5"/>
  <c r="Y104" i="36"/>
  <c r="Z104" i="36"/>
  <c r="Y103" i="36"/>
  <c r="Z103" i="36"/>
  <c r="N35" i="32"/>
  <c r="O35" i="32"/>
  <c r="AZ104" i="36" l="1"/>
  <c r="AZ108" i="36" s="1"/>
  <c r="AZ106" i="36"/>
  <c r="BA87" i="36"/>
  <c r="BA104" i="5"/>
  <c r="BA108" i="5" s="1"/>
  <c r="BA106" i="5"/>
  <c r="V23" i="32"/>
  <c r="V3" i="32"/>
  <c r="V2" i="32"/>
  <c r="AB16" i="36"/>
  <c r="R21" i="36"/>
  <c r="P2" i="36"/>
  <c r="P3" i="36"/>
  <c r="P4" i="36"/>
  <c r="P6" i="36"/>
  <c r="P7" i="36"/>
  <c r="P8" i="36"/>
  <c r="P9" i="36"/>
  <c r="P10" i="36"/>
  <c r="P11" i="36"/>
  <c r="P12" i="36"/>
  <c r="U20" i="5"/>
  <c r="AD69" i="2"/>
  <c r="BA106" i="36" l="1"/>
  <c r="BA104" i="36"/>
  <c r="BA108" i="36" s="1"/>
  <c r="V35" i="32"/>
  <c r="AH37" i="2"/>
  <c r="AH101" i="5" s="1"/>
  <c r="AH38" i="2"/>
  <c r="AG107" i="3"/>
  <c r="AG106" i="3"/>
  <c r="AH105" i="3"/>
  <c r="AH37" i="3"/>
  <c r="AB37" i="7" l="1"/>
  <c r="AC37" i="7"/>
  <c r="AD37" i="7"/>
  <c r="AI107" i="1"/>
  <c r="AJ107" i="1"/>
  <c r="AI106" i="1"/>
  <c r="AJ106" i="1"/>
  <c r="AI105" i="1"/>
  <c r="AJ105" i="1"/>
  <c r="AI104" i="1"/>
  <c r="AJ104" i="1"/>
  <c r="AI103" i="1"/>
  <c r="AJ103" i="1"/>
  <c r="AB103" i="7" l="1"/>
  <c r="AB108" i="7" s="1"/>
  <c r="AD103" i="7"/>
  <c r="AD108" i="7" s="1"/>
  <c r="AC103" i="7"/>
  <c r="AC108" i="7" s="1"/>
  <c r="AJ108" i="1"/>
  <c r="AI108" i="1"/>
  <c r="AJ53" i="2"/>
  <c r="X48" i="35"/>
  <c r="AJ90" i="2" s="1"/>
  <c r="AJ106" i="2"/>
  <c r="AH103" i="2"/>
  <c r="AJ103" i="2"/>
  <c r="AI2" i="2"/>
  <c r="AI3" i="2"/>
  <c r="AI4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4" i="2"/>
  <c r="AI25" i="2"/>
  <c r="AI26" i="2"/>
  <c r="AI27" i="2"/>
  <c r="AI28" i="2"/>
  <c r="AI29" i="2"/>
  <c r="AI30" i="2"/>
  <c r="AI31" i="2"/>
  <c r="AI32" i="2"/>
  <c r="AI33" i="2"/>
  <c r="AI35" i="2"/>
  <c r="AI36" i="2"/>
  <c r="AI37" i="2"/>
  <c r="AI38" i="2"/>
  <c r="AI44" i="3"/>
  <c r="AK44" i="3" s="1"/>
  <c r="AI40" i="3"/>
  <c r="AK40" i="3" s="1"/>
  <c r="AI41" i="3"/>
  <c r="AK41" i="3" s="1"/>
  <c r="AI42" i="3"/>
  <c r="AK42" i="3" s="1"/>
  <c r="AI45" i="3"/>
  <c r="AK45" i="3" s="1"/>
  <c r="AI49" i="3"/>
  <c r="AK49" i="3" s="1"/>
  <c r="AI51" i="3"/>
  <c r="AK51" i="3" s="1"/>
  <c r="AI52" i="3"/>
  <c r="AI53" i="3"/>
  <c r="AK53" i="3" s="1"/>
  <c r="AI54" i="3"/>
  <c r="AI55" i="3"/>
  <c r="AK55" i="3" s="1"/>
  <c r="AH3" i="3"/>
  <c r="AI3" i="3" s="1"/>
  <c r="AK3" i="3" s="1"/>
  <c r="AK3" i="36" s="1"/>
  <c r="AH4" i="3"/>
  <c r="AI4" i="3" s="1"/>
  <c r="AK4" i="3" s="1"/>
  <c r="AK4" i="36" s="1"/>
  <c r="AH6" i="3"/>
  <c r="AI6" i="3" s="1"/>
  <c r="AK6" i="3" s="1"/>
  <c r="AK6" i="36" s="1"/>
  <c r="AH7" i="3"/>
  <c r="AI7" i="3" s="1"/>
  <c r="AK7" i="3" s="1"/>
  <c r="AK7" i="36" s="1"/>
  <c r="AH8" i="3"/>
  <c r="AI8" i="3" s="1"/>
  <c r="AK8" i="3" s="1"/>
  <c r="AK8" i="36" s="1"/>
  <c r="AH9" i="3"/>
  <c r="AI9" i="3" s="1"/>
  <c r="AK9" i="3" s="1"/>
  <c r="AH10" i="3"/>
  <c r="AI10" i="3" s="1"/>
  <c r="AK10" i="3" s="1"/>
  <c r="AK10" i="36" s="1"/>
  <c r="AH11" i="3"/>
  <c r="AI11" i="3" s="1"/>
  <c r="AH12" i="3"/>
  <c r="AI12" i="3" s="1"/>
  <c r="AK12" i="3" s="1"/>
  <c r="AH13" i="3"/>
  <c r="AI13" i="3" s="1"/>
  <c r="AK13" i="3" s="1"/>
  <c r="AH14" i="3"/>
  <c r="AI14" i="3" s="1"/>
  <c r="AK14" i="3" s="1"/>
  <c r="AH15" i="3"/>
  <c r="AI15" i="3" s="1"/>
  <c r="AK15" i="3" s="1"/>
  <c r="AH16" i="3"/>
  <c r="AI16" i="3" s="1"/>
  <c r="AK16" i="3" s="1"/>
  <c r="AH17" i="3"/>
  <c r="AI17" i="3" s="1"/>
  <c r="AK17" i="3" s="1"/>
  <c r="AH18" i="3"/>
  <c r="AH19" i="3"/>
  <c r="AI19" i="3" s="1"/>
  <c r="AK19" i="3" s="1"/>
  <c r="AH20" i="3"/>
  <c r="AI20" i="3" s="1"/>
  <c r="AK20" i="3" s="1"/>
  <c r="AH21" i="3"/>
  <c r="AI21" i="3" s="1"/>
  <c r="AK21" i="3" s="1"/>
  <c r="AH22" i="3"/>
  <c r="AI22" i="3" s="1"/>
  <c r="AH24" i="3"/>
  <c r="AI24" i="3" s="1"/>
  <c r="AK24" i="3" s="1"/>
  <c r="AH25" i="3"/>
  <c r="AI25" i="3" s="1"/>
  <c r="AK25" i="3" s="1"/>
  <c r="AH26" i="3"/>
  <c r="AI26" i="3" s="1"/>
  <c r="AK26" i="3" s="1"/>
  <c r="AH27" i="3"/>
  <c r="AI27" i="3" s="1"/>
  <c r="AH28" i="3"/>
  <c r="AI28" i="3" s="1"/>
  <c r="AK28" i="3" s="1"/>
  <c r="AH29" i="3"/>
  <c r="AI29" i="3" s="1"/>
  <c r="AK29" i="3" s="1"/>
  <c r="AH31" i="3"/>
  <c r="AI31" i="3" s="1"/>
  <c r="AK31" i="3" s="1"/>
  <c r="AH32" i="3"/>
  <c r="AI32" i="3" s="1"/>
  <c r="AK32" i="3" s="1"/>
  <c r="AH33" i="3"/>
  <c r="AI33" i="3" s="1"/>
  <c r="AK33" i="3" s="1"/>
  <c r="AK33" i="36" s="1"/>
  <c r="AH35" i="3"/>
  <c r="AI35" i="3" s="1"/>
  <c r="AH36" i="3"/>
  <c r="AI36" i="3" s="1"/>
  <c r="AK36" i="3" s="1"/>
  <c r="AK36" i="36" s="1"/>
  <c r="AH38" i="3"/>
  <c r="AI38" i="3" s="1"/>
  <c r="AK38" i="3" s="1"/>
  <c r="AH56" i="3"/>
  <c r="AH57" i="3"/>
  <c r="AH58" i="3"/>
  <c r="AI58" i="3" s="1"/>
  <c r="AK58" i="3" s="1"/>
  <c r="AH59" i="3"/>
  <c r="AH60" i="3"/>
  <c r="AH66" i="3"/>
  <c r="AH67" i="3"/>
  <c r="AI67" i="3" s="1"/>
  <c r="AK67" i="3" s="1"/>
  <c r="AH68" i="3"/>
  <c r="AI68" i="3" s="1"/>
  <c r="AK68" i="3" s="1"/>
  <c r="AH69" i="3"/>
  <c r="AH70" i="3"/>
  <c r="AH71" i="3"/>
  <c r="AH72" i="3"/>
  <c r="AI72" i="3" s="1"/>
  <c r="AK72" i="3" s="1"/>
  <c r="AH73" i="3"/>
  <c r="AI73" i="3" s="1"/>
  <c r="AK73" i="3" s="1"/>
  <c r="AH74" i="3"/>
  <c r="AI74" i="3" s="1"/>
  <c r="AK74" i="3" s="1"/>
  <c r="AH76" i="3"/>
  <c r="AH77" i="3"/>
  <c r="AI77" i="3" s="1"/>
  <c r="AK77" i="3" s="1"/>
  <c r="AH78" i="3"/>
  <c r="AI78" i="3" s="1"/>
  <c r="AK78" i="3" s="1"/>
  <c r="AH79" i="3"/>
  <c r="AI79" i="3" s="1"/>
  <c r="AK79" i="3" s="1"/>
  <c r="AH80" i="3"/>
  <c r="AI80" i="3" s="1"/>
  <c r="AK80" i="3" s="1"/>
  <c r="AH81" i="3"/>
  <c r="AI81" i="3" s="1"/>
  <c r="AK81" i="3" s="1"/>
  <c r="AH82" i="3"/>
  <c r="AI82" i="3" s="1"/>
  <c r="AK82" i="3" s="1"/>
  <c r="AH83" i="3"/>
  <c r="AI83" i="3" s="1"/>
  <c r="AK83" i="3" s="1"/>
  <c r="AH84" i="3"/>
  <c r="AI84" i="3" s="1"/>
  <c r="AK84" i="3" s="1"/>
  <c r="AH85" i="3"/>
  <c r="AI85" i="3" s="1"/>
  <c r="AK85" i="3" s="1"/>
  <c r="AH86" i="3"/>
  <c r="AI86" i="3" s="1"/>
  <c r="AK86" i="3" s="1"/>
  <c r="AH87" i="3"/>
  <c r="AI87" i="3" s="1"/>
  <c r="AK87" i="3" s="1"/>
  <c r="AH88" i="3"/>
  <c r="AI88" i="3" s="1"/>
  <c r="AK88" i="3" s="1"/>
  <c r="AH89" i="3"/>
  <c r="AH90" i="3"/>
  <c r="AH91" i="3"/>
  <c r="AI91" i="3" s="1"/>
  <c r="AK91" i="3" s="1"/>
  <c r="AH94" i="3"/>
  <c r="AI94" i="3" s="1"/>
  <c r="AK94" i="3" s="1"/>
  <c r="AH95" i="3"/>
  <c r="AI95" i="3" s="1"/>
  <c r="AK95" i="3" s="1"/>
  <c r="AH96" i="3"/>
  <c r="AI96" i="3" s="1"/>
  <c r="AK96" i="3" s="1"/>
  <c r="AH98" i="3"/>
  <c r="AI98" i="3" s="1"/>
  <c r="AK98" i="3" s="1"/>
  <c r="AH100" i="3"/>
  <c r="AI100" i="3" s="1"/>
  <c r="AK100" i="3" s="1"/>
  <c r="AH101" i="3"/>
  <c r="AI101" i="3" s="1"/>
  <c r="AK101" i="3" s="1"/>
  <c r="AH2" i="3"/>
  <c r="AK52" i="3" l="1"/>
  <c r="AK105" i="3" s="1"/>
  <c r="AK106" i="3"/>
  <c r="AI35" i="36"/>
  <c r="AK35" i="3"/>
  <c r="AK35" i="36" s="1"/>
  <c r="AI11" i="36"/>
  <c r="AK11" i="3"/>
  <c r="AK11" i="36" s="1"/>
  <c r="AI27" i="36"/>
  <c r="AK27" i="3"/>
  <c r="AK27" i="36" s="1"/>
  <c r="AI22" i="36"/>
  <c r="AK22" i="3"/>
  <c r="AK22" i="36" s="1"/>
  <c r="AJ93" i="2"/>
  <c r="AH107" i="3"/>
  <c r="AH103" i="3"/>
  <c r="AH104" i="3"/>
  <c r="AI106" i="3"/>
  <c r="AH106" i="3"/>
  <c r="AI89" i="3"/>
  <c r="AK89" i="3" s="1"/>
  <c r="AI2" i="3"/>
  <c r="AK2" i="3" s="1"/>
  <c r="AK2" i="36" s="1"/>
  <c r="AI105" i="3"/>
  <c r="AI103" i="2"/>
  <c r="AI104" i="3"/>
  <c r="AI40" i="2"/>
  <c r="AI41" i="2"/>
  <c r="AI42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G107" i="2"/>
  <c r="AG106" i="2"/>
  <c r="AG105" i="2"/>
  <c r="AG104" i="2"/>
  <c r="AG103" i="2"/>
  <c r="AF104" i="2"/>
  <c r="AF105" i="2"/>
  <c r="AF106" i="2"/>
  <c r="AF107" i="2"/>
  <c r="AH57" i="2"/>
  <c r="AI57" i="2" s="1"/>
  <c r="AH58" i="2"/>
  <c r="AI58" i="2" s="1"/>
  <c r="AH59" i="2"/>
  <c r="AI59" i="2" s="1"/>
  <c r="AH60" i="2"/>
  <c r="AI60" i="2" s="1"/>
  <c r="AH61" i="2"/>
  <c r="AI61" i="2" s="1"/>
  <c r="AH64" i="2"/>
  <c r="AI64" i="2" s="1"/>
  <c r="AH65" i="2"/>
  <c r="AI65" i="2" s="1"/>
  <c r="AH66" i="2"/>
  <c r="AI66" i="2" s="1"/>
  <c r="AH67" i="2"/>
  <c r="AI67" i="2" s="1"/>
  <c r="AH68" i="2"/>
  <c r="AI68" i="2" s="1"/>
  <c r="AH69" i="2"/>
  <c r="AI69" i="2" s="1"/>
  <c r="AH70" i="2"/>
  <c r="AI70" i="2" s="1"/>
  <c r="AH71" i="2"/>
  <c r="AI71" i="2" s="1"/>
  <c r="AH72" i="2"/>
  <c r="AI72" i="2" s="1"/>
  <c r="AH73" i="2"/>
  <c r="AI73" i="2" s="1"/>
  <c r="AH74" i="2"/>
  <c r="AI74" i="2" s="1"/>
  <c r="AH76" i="2"/>
  <c r="AI76" i="2" s="1"/>
  <c r="AH77" i="2"/>
  <c r="AI77" i="2" s="1"/>
  <c r="AH78" i="2"/>
  <c r="AI78" i="2" s="1"/>
  <c r="AH79" i="2"/>
  <c r="AI79" i="2" s="1"/>
  <c r="AH80" i="2"/>
  <c r="AI80" i="2" s="1"/>
  <c r="AH81" i="2"/>
  <c r="AI81" i="2" s="1"/>
  <c r="AH82" i="2"/>
  <c r="AI82" i="2" s="1"/>
  <c r="AH83" i="2"/>
  <c r="AI83" i="2" s="1"/>
  <c r="AH84" i="2"/>
  <c r="AI84" i="2" s="1"/>
  <c r="AH85" i="2"/>
  <c r="AI85" i="2" s="1"/>
  <c r="AH86" i="2"/>
  <c r="AI86" i="2" s="1"/>
  <c r="AH87" i="2"/>
  <c r="AI87" i="2" s="1"/>
  <c r="AH88" i="2"/>
  <c r="AI88" i="2" s="1"/>
  <c r="AH89" i="2"/>
  <c r="AH91" i="2"/>
  <c r="AI91" i="2" s="1"/>
  <c r="AH94" i="2"/>
  <c r="AI94" i="2" s="1"/>
  <c r="AH95" i="2"/>
  <c r="AI95" i="2" s="1"/>
  <c r="AH96" i="2"/>
  <c r="AI96" i="2" s="1"/>
  <c r="AH98" i="2"/>
  <c r="AI98" i="2" s="1"/>
  <c r="AH100" i="2"/>
  <c r="AI100" i="2" s="1"/>
  <c r="AH101" i="2"/>
  <c r="AI101" i="2" s="1"/>
  <c r="AI56" i="2"/>
  <c r="AK107" i="3" l="1"/>
  <c r="AH108" i="3"/>
  <c r="AK104" i="3"/>
  <c r="AJ107" i="2"/>
  <c r="AK107" i="2"/>
  <c r="AI107" i="3"/>
  <c r="AI103" i="3"/>
  <c r="AI108" i="3" s="1"/>
  <c r="AH107" i="2"/>
  <c r="AH104" i="2"/>
  <c r="AI39" i="2"/>
  <c r="AI105" i="2" s="1"/>
  <c r="AH105" i="2"/>
  <c r="AI106" i="2"/>
  <c r="AH106" i="2"/>
  <c r="AI89" i="2"/>
  <c r="AI107" i="2" s="1"/>
  <c r="AG105" i="3"/>
  <c r="AG104" i="3"/>
  <c r="AG103" i="3"/>
  <c r="AF107" i="3"/>
  <c r="AF106" i="3"/>
  <c r="AF105" i="3"/>
  <c r="AF104" i="3"/>
  <c r="AF103" i="3"/>
  <c r="AF108" i="3" l="1"/>
  <c r="AG108" i="3"/>
  <c r="AK37" i="3"/>
  <c r="AK103" i="3" s="1"/>
  <c r="AK108" i="3" s="1"/>
  <c r="AI104" i="2"/>
  <c r="AG107" i="1"/>
  <c r="AG106" i="1"/>
  <c r="AG105" i="1"/>
  <c r="AG104" i="1"/>
  <c r="AG103" i="1"/>
  <c r="AF107" i="1"/>
  <c r="AF106" i="1"/>
  <c r="AF105" i="1"/>
  <c r="AF104" i="1"/>
  <c r="AF104" i="36" s="1"/>
  <c r="AF103" i="1"/>
  <c r="AF103" i="2"/>
  <c r="AG108" i="1" l="1"/>
  <c r="AF103" i="36"/>
  <c r="AF108" i="1"/>
  <c r="U31" i="32"/>
  <c r="U28" i="32" l="1"/>
  <c r="U13" i="32"/>
  <c r="U19" i="32"/>
  <c r="U2" i="32"/>
  <c r="U35" i="32" l="1"/>
  <c r="AI90" i="5"/>
  <c r="AI39" i="5"/>
  <c r="AF109" i="36"/>
  <c r="AI109" i="36"/>
  <c r="AH38" i="7"/>
  <c r="AH39" i="7"/>
  <c r="AH3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4" i="7"/>
  <c r="AH25" i="7"/>
  <c r="AH26" i="7"/>
  <c r="AH27" i="7"/>
  <c r="AH28" i="7"/>
  <c r="AH29" i="7"/>
  <c r="AH30" i="7"/>
  <c r="AH31" i="7"/>
  <c r="AH32" i="7"/>
  <c r="AH33" i="7"/>
  <c r="AH36" i="7"/>
  <c r="AH2" i="7"/>
  <c r="AI38" i="5"/>
  <c r="AK38" i="5" s="1"/>
  <c r="AK38" i="36" s="1"/>
  <c r="AI43" i="5"/>
  <c r="AI48" i="5"/>
  <c r="AI52" i="5"/>
  <c r="AK52" i="5" s="1"/>
  <c r="AH3" i="5"/>
  <c r="AI3" i="5" s="1"/>
  <c r="AI3" i="36" s="1"/>
  <c r="AH4" i="5"/>
  <c r="AI4" i="5" s="1"/>
  <c r="AI4" i="36" s="1"/>
  <c r="AH6" i="5"/>
  <c r="AI6" i="5" s="1"/>
  <c r="AI6" i="36" s="1"/>
  <c r="AH7" i="5"/>
  <c r="AI7" i="5" s="1"/>
  <c r="AI7" i="36" s="1"/>
  <c r="AH8" i="5"/>
  <c r="AI8" i="5" s="1"/>
  <c r="AI8" i="36" s="1"/>
  <c r="AH9" i="5"/>
  <c r="AI9" i="5" s="1"/>
  <c r="AH10" i="5"/>
  <c r="AI10" i="5" s="1"/>
  <c r="AI10" i="36" s="1"/>
  <c r="AH11" i="5"/>
  <c r="AH12" i="5"/>
  <c r="AI12" i="5" s="1"/>
  <c r="AH13" i="5"/>
  <c r="AI13" i="5" s="1"/>
  <c r="AH14" i="5"/>
  <c r="AI14" i="5" s="1"/>
  <c r="AH15" i="5"/>
  <c r="AI15" i="5" s="1"/>
  <c r="AH16" i="5"/>
  <c r="AH17" i="5"/>
  <c r="AI17" i="5" s="1"/>
  <c r="AH18" i="5"/>
  <c r="AI18" i="5" s="1"/>
  <c r="AH19" i="5"/>
  <c r="AI19" i="5" s="1"/>
  <c r="AH20" i="5"/>
  <c r="AI20" i="5" s="1"/>
  <c r="AH21" i="5"/>
  <c r="AI21" i="5" s="1"/>
  <c r="AH22" i="5"/>
  <c r="AH24" i="5"/>
  <c r="AI24" i="5" s="1"/>
  <c r="AH25" i="5"/>
  <c r="AI25" i="5" s="1"/>
  <c r="AH26" i="5"/>
  <c r="AI26" i="5" s="1"/>
  <c r="AH27" i="5"/>
  <c r="AH28" i="5"/>
  <c r="AI28" i="5" s="1"/>
  <c r="AH29" i="5"/>
  <c r="AI29" i="5" s="1"/>
  <c r="AH30" i="5"/>
  <c r="AH31" i="5"/>
  <c r="AI31" i="5" s="1"/>
  <c r="AH32" i="5"/>
  <c r="AI32" i="5" s="1"/>
  <c r="AH33" i="5"/>
  <c r="AI33" i="5" s="1"/>
  <c r="AI33" i="36" s="1"/>
  <c r="AI36" i="36"/>
  <c r="AH101" i="36"/>
  <c r="AH2" i="5"/>
  <c r="AI2" i="5" s="1"/>
  <c r="AI2" i="36" s="1"/>
  <c r="AI40" i="5"/>
  <c r="AI41" i="5"/>
  <c r="AI42" i="5"/>
  <c r="AI44" i="5"/>
  <c r="AI45" i="5"/>
  <c r="AI46" i="5"/>
  <c r="AI49" i="5"/>
  <c r="AI50" i="5"/>
  <c r="AI51" i="5"/>
  <c r="AI53" i="5"/>
  <c r="AI54" i="5"/>
  <c r="AI55" i="5"/>
  <c r="AK55" i="5" s="1"/>
  <c r="AK55" i="36" s="1"/>
  <c r="AH57" i="5"/>
  <c r="AI57" i="5" s="1"/>
  <c r="AK57" i="5" s="1"/>
  <c r="AH58" i="5"/>
  <c r="AI58" i="5" s="1"/>
  <c r="AK58" i="5" s="1"/>
  <c r="AH59" i="5"/>
  <c r="AI59" i="5" s="1"/>
  <c r="AK59" i="5" s="1"/>
  <c r="AH60" i="5"/>
  <c r="AI60" i="5" s="1"/>
  <c r="AK60" i="5" s="1"/>
  <c r="AH61" i="5"/>
  <c r="AI61" i="5" s="1"/>
  <c r="AK61" i="5" s="1"/>
  <c r="AH64" i="5"/>
  <c r="AI64" i="5" s="1"/>
  <c r="AK64" i="5" s="1"/>
  <c r="AH65" i="5"/>
  <c r="AI65" i="5" s="1"/>
  <c r="AK65" i="5" s="1"/>
  <c r="AH66" i="5"/>
  <c r="AI66" i="5" s="1"/>
  <c r="AK66" i="5" s="1"/>
  <c r="AH67" i="5"/>
  <c r="AI67" i="5" s="1"/>
  <c r="AK67" i="5" s="1"/>
  <c r="AH68" i="5"/>
  <c r="AI68" i="5" s="1"/>
  <c r="AK68" i="5" s="1"/>
  <c r="AH69" i="5"/>
  <c r="AI69" i="5" s="1"/>
  <c r="AK69" i="5" s="1"/>
  <c r="AH70" i="5"/>
  <c r="AI70" i="5" s="1"/>
  <c r="AK70" i="5" s="1"/>
  <c r="AH71" i="5"/>
  <c r="AI71" i="5" s="1"/>
  <c r="AK71" i="5" s="1"/>
  <c r="AH72" i="5"/>
  <c r="AI72" i="5" s="1"/>
  <c r="AH73" i="5"/>
  <c r="AH74" i="5"/>
  <c r="AI74" i="5" s="1"/>
  <c r="AK74" i="5" s="1"/>
  <c r="AH76" i="5"/>
  <c r="AI76" i="5" s="1"/>
  <c r="AK76" i="5" s="1"/>
  <c r="AH77" i="5"/>
  <c r="AI77" i="5" s="1"/>
  <c r="AK77" i="5" s="1"/>
  <c r="AH78" i="5"/>
  <c r="AI78" i="5" s="1"/>
  <c r="AK78" i="5" s="1"/>
  <c r="AH79" i="5"/>
  <c r="AI79" i="5" s="1"/>
  <c r="AK79" i="5" s="1"/>
  <c r="AH80" i="5"/>
  <c r="AI80" i="5" s="1"/>
  <c r="AK80" i="5" s="1"/>
  <c r="AH81" i="5"/>
  <c r="AI81" i="5" s="1"/>
  <c r="AK81" i="5" s="1"/>
  <c r="AH82" i="5"/>
  <c r="AI82" i="5" s="1"/>
  <c r="AK82" i="5" s="1"/>
  <c r="AH83" i="5"/>
  <c r="AI83" i="5" s="1"/>
  <c r="AK83" i="5" s="1"/>
  <c r="AH84" i="5"/>
  <c r="AI84" i="5" s="1"/>
  <c r="AK84" i="5" s="1"/>
  <c r="AH85" i="5"/>
  <c r="AI85" i="5" s="1"/>
  <c r="AK85" i="5" s="1"/>
  <c r="AH86" i="5"/>
  <c r="AI86" i="5" s="1"/>
  <c r="AK86" i="5" s="1"/>
  <c r="AH87" i="5"/>
  <c r="AI87" i="5" s="1"/>
  <c r="AK87" i="5" s="1"/>
  <c r="AH88" i="5"/>
  <c r="AI88" i="5" s="1"/>
  <c r="AK88" i="5" s="1"/>
  <c r="AH89" i="5"/>
  <c r="AI89" i="5" s="1"/>
  <c r="AK89" i="5" s="1"/>
  <c r="AH90" i="5"/>
  <c r="AH91" i="5"/>
  <c r="AI91" i="5" s="1"/>
  <c r="AH92" i="5"/>
  <c r="AH93" i="5"/>
  <c r="AH94" i="5"/>
  <c r="AI94" i="5" s="1"/>
  <c r="AK94" i="5" s="1"/>
  <c r="AH95" i="5"/>
  <c r="AI95" i="5" s="1"/>
  <c r="AK95" i="5" s="1"/>
  <c r="AH96" i="5"/>
  <c r="AI96" i="5" s="1"/>
  <c r="AK96" i="5" s="1"/>
  <c r="AH98" i="5"/>
  <c r="AI98" i="5" s="1"/>
  <c r="AK98" i="5" s="1"/>
  <c r="AH100" i="5"/>
  <c r="AI100" i="5" s="1"/>
  <c r="AK100" i="5" s="1"/>
  <c r="AH56" i="5"/>
  <c r="AI56" i="5" s="1"/>
  <c r="AK56" i="5" s="1"/>
  <c r="AG104" i="5"/>
  <c r="AG104" i="36" s="1"/>
  <c r="AE107" i="5"/>
  <c r="AG107" i="5"/>
  <c r="AG105" i="5"/>
  <c r="AG103" i="5"/>
  <c r="AH103" i="7" l="1"/>
  <c r="AI49" i="36"/>
  <c r="AK49" i="5"/>
  <c r="AK49" i="36" s="1"/>
  <c r="AI31" i="36"/>
  <c r="AK31" i="5"/>
  <c r="AK31" i="36" s="1"/>
  <c r="AI18" i="36"/>
  <c r="AK18" i="5"/>
  <c r="AK18" i="36" s="1"/>
  <c r="AI14" i="36"/>
  <c r="AK14" i="5"/>
  <c r="AK14" i="36" s="1"/>
  <c r="AI41" i="36"/>
  <c r="AK41" i="5"/>
  <c r="AK41" i="36" s="1"/>
  <c r="AG103" i="36"/>
  <c r="AG108" i="36" s="1"/>
  <c r="AG111" i="36" s="1"/>
  <c r="AK72" i="5"/>
  <c r="AI91" i="36"/>
  <c r="AK91" i="5"/>
  <c r="AK91" i="36" s="1"/>
  <c r="AI50" i="36"/>
  <c r="AK50" i="5"/>
  <c r="AK50" i="36" s="1"/>
  <c r="AI44" i="36"/>
  <c r="AK44" i="5"/>
  <c r="AK44" i="36" s="1"/>
  <c r="AI32" i="36"/>
  <c r="AK32" i="5"/>
  <c r="AK32" i="36" s="1"/>
  <c r="AI24" i="36"/>
  <c r="AK24" i="5"/>
  <c r="AK24" i="36" s="1"/>
  <c r="AI19" i="36"/>
  <c r="AK19" i="5"/>
  <c r="AK19" i="36" s="1"/>
  <c r="AI15" i="36"/>
  <c r="AK15" i="5"/>
  <c r="AK15" i="36" s="1"/>
  <c r="AI48" i="36"/>
  <c r="AK48" i="5"/>
  <c r="AK48" i="36" s="1"/>
  <c r="AI54" i="36"/>
  <c r="AK54" i="5"/>
  <c r="AK54" i="36" s="1"/>
  <c r="AI42" i="36"/>
  <c r="AK42" i="5"/>
  <c r="AK42" i="36" s="1"/>
  <c r="AI46" i="36"/>
  <c r="AK46" i="5"/>
  <c r="AK46" i="36" s="1"/>
  <c r="AI26" i="36"/>
  <c r="AK26" i="5"/>
  <c r="AK26" i="36" s="1"/>
  <c r="AI21" i="36"/>
  <c r="AK21" i="5"/>
  <c r="AK21" i="36" s="1"/>
  <c r="AI17" i="36"/>
  <c r="AK17" i="5"/>
  <c r="AK17" i="36" s="1"/>
  <c r="AI13" i="36"/>
  <c r="AK13" i="5"/>
  <c r="AK13" i="36" s="1"/>
  <c r="AI9" i="36"/>
  <c r="AK9" i="5"/>
  <c r="AI43" i="36"/>
  <c r="AK43" i="5"/>
  <c r="AK43" i="36" s="1"/>
  <c r="AI53" i="36"/>
  <c r="AK53" i="5"/>
  <c r="AK53" i="36" s="1"/>
  <c r="AI51" i="36"/>
  <c r="AK51" i="5"/>
  <c r="AK51" i="36" s="1"/>
  <c r="AI45" i="36"/>
  <c r="AK45" i="5"/>
  <c r="AK45" i="36" s="1"/>
  <c r="AI40" i="36"/>
  <c r="AK40" i="5"/>
  <c r="AK40" i="36" s="1"/>
  <c r="AI29" i="36"/>
  <c r="AK29" i="5"/>
  <c r="AK29" i="36" s="1"/>
  <c r="AI25" i="36"/>
  <c r="AK25" i="5"/>
  <c r="AK25" i="36" s="1"/>
  <c r="AI20" i="36"/>
  <c r="AK20" i="5"/>
  <c r="AK20" i="36" s="1"/>
  <c r="AI16" i="5"/>
  <c r="AK16" i="5" s="1"/>
  <c r="AK16" i="36" s="1"/>
  <c r="AI12" i="36"/>
  <c r="AK12" i="5"/>
  <c r="AK12" i="36" s="1"/>
  <c r="AI28" i="36"/>
  <c r="AK28" i="5"/>
  <c r="AK28" i="36" s="1"/>
  <c r="AH107" i="5"/>
  <c r="AI90" i="36"/>
  <c r="AI93" i="5"/>
  <c r="AI38" i="36"/>
  <c r="AH103" i="5"/>
  <c r="AG106" i="5"/>
  <c r="AI105" i="5"/>
  <c r="AH105" i="5"/>
  <c r="AI106" i="5"/>
  <c r="AH106" i="5"/>
  <c r="AH104" i="5"/>
  <c r="AG108" i="5"/>
  <c r="AH40" i="7"/>
  <c r="AH41" i="7"/>
  <c r="AH42" i="7"/>
  <c r="AH43" i="7"/>
  <c r="AH44" i="7"/>
  <c r="AH45" i="7"/>
  <c r="AH46" i="7"/>
  <c r="AH48" i="7"/>
  <c r="AH49" i="7"/>
  <c r="AH50" i="7"/>
  <c r="AH51" i="7"/>
  <c r="AH52" i="7"/>
  <c r="AH53" i="7"/>
  <c r="AH54" i="7"/>
  <c r="AH55" i="7"/>
  <c r="AH105" i="7" l="1"/>
  <c r="AI16" i="36"/>
  <c r="AI103" i="5"/>
  <c r="AI103" i="36" s="1"/>
  <c r="AK103" i="5"/>
  <c r="AK9" i="36"/>
  <c r="AK105" i="5"/>
  <c r="AI104" i="5"/>
  <c r="AI107" i="5"/>
  <c r="AH108" i="5"/>
  <c r="AH56" i="7"/>
  <c r="AI56" i="7" s="1"/>
  <c r="X67" i="35"/>
  <c r="AI108" i="5" l="1"/>
  <c r="AI56" i="36"/>
  <c r="AK56" i="7"/>
  <c r="AK56" i="36" s="1"/>
  <c r="AK107" i="5"/>
  <c r="X175" i="35"/>
  <c r="AI92" i="7"/>
  <c r="AH57" i="7"/>
  <c r="AH58" i="7"/>
  <c r="AI58" i="7" s="1"/>
  <c r="AH59" i="7"/>
  <c r="AI59" i="7" s="1"/>
  <c r="AH60" i="7"/>
  <c r="AI60" i="7" s="1"/>
  <c r="AH61" i="7"/>
  <c r="AI61" i="7" s="1"/>
  <c r="AH64" i="7"/>
  <c r="AI64" i="7" s="1"/>
  <c r="AH65" i="7"/>
  <c r="AI65" i="7" s="1"/>
  <c r="AH66" i="7"/>
  <c r="AI66" i="7" s="1"/>
  <c r="AH67" i="7"/>
  <c r="AI67" i="7" s="1"/>
  <c r="AH68" i="7"/>
  <c r="AI68" i="7" s="1"/>
  <c r="AH69" i="7"/>
  <c r="AI69" i="7" s="1"/>
  <c r="AH70" i="7"/>
  <c r="AI70" i="7" s="1"/>
  <c r="AH71" i="7"/>
  <c r="AI71" i="7" s="1"/>
  <c r="AH72" i="7"/>
  <c r="AI72" i="7" s="1"/>
  <c r="AH73" i="7"/>
  <c r="AI73" i="7" s="1"/>
  <c r="AH74" i="7"/>
  <c r="AI74" i="7" s="1"/>
  <c r="AH76" i="7"/>
  <c r="AI76" i="7" s="1"/>
  <c r="AH77" i="7"/>
  <c r="AI77" i="7" s="1"/>
  <c r="AH78" i="7"/>
  <c r="AI78" i="7" s="1"/>
  <c r="AH79" i="7"/>
  <c r="AI79" i="7" s="1"/>
  <c r="AH80" i="7"/>
  <c r="AI80" i="7" s="1"/>
  <c r="AH81" i="7"/>
  <c r="AI81" i="7" s="1"/>
  <c r="AH82" i="7"/>
  <c r="AI82" i="7" s="1"/>
  <c r="AH83" i="7"/>
  <c r="AI83" i="7" s="1"/>
  <c r="AH84" i="7"/>
  <c r="AI84" i="7" s="1"/>
  <c r="AH85" i="7"/>
  <c r="AI85" i="7" s="1"/>
  <c r="AH86" i="7"/>
  <c r="AI86" i="7" s="1"/>
  <c r="AH87" i="7"/>
  <c r="AI87" i="7" s="1"/>
  <c r="AH88" i="7"/>
  <c r="AI88" i="7" s="1"/>
  <c r="AH89" i="7"/>
  <c r="AH94" i="7"/>
  <c r="AH95" i="7"/>
  <c r="AI95" i="7" s="1"/>
  <c r="AH96" i="7"/>
  <c r="AI96" i="7" s="1"/>
  <c r="AH98" i="7"/>
  <c r="AI98" i="7" s="1"/>
  <c r="AH100" i="7"/>
  <c r="AH101" i="7"/>
  <c r="AI101" i="7" s="1"/>
  <c r="AH102" i="7"/>
  <c r="AI102" i="7" s="1"/>
  <c r="AK102" i="7" s="1"/>
  <c r="AI100" i="7" l="1"/>
  <c r="AI100" i="36" s="1"/>
  <c r="AH106" i="7"/>
  <c r="AI94" i="7"/>
  <c r="AK94" i="7" s="1"/>
  <c r="AH104" i="7"/>
  <c r="AH108" i="7" s="1"/>
  <c r="AH107" i="7"/>
  <c r="AI86" i="36"/>
  <c r="AK86" i="7"/>
  <c r="AK86" i="36" s="1"/>
  <c r="AI82" i="36"/>
  <c r="AK82" i="7"/>
  <c r="AK82" i="36" s="1"/>
  <c r="AI73" i="36"/>
  <c r="AK73" i="7"/>
  <c r="AK73" i="36" s="1"/>
  <c r="AI69" i="36"/>
  <c r="AK69" i="7"/>
  <c r="AK69" i="36" s="1"/>
  <c r="AI101" i="36"/>
  <c r="AK101" i="7"/>
  <c r="AI95" i="36"/>
  <c r="AK95" i="7"/>
  <c r="AK95" i="36" s="1"/>
  <c r="AI83" i="36"/>
  <c r="AK83" i="7"/>
  <c r="AK83" i="36" s="1"/>
  <c r="AI74" i="36"/>
  <c r="AK74" i="7"/>
  <c r="AK74" i="36" s="1"/>
  <c r="AI66" i="36"/>
  <c r="AK66" i="7"/>
  <c r="AK66" i="36" s="1"/>
  <c r="AI60" i="36"/>
  <c r="AK60" i="7"/>
  <c r="AK60" i="36" s="1"/>
  <c r="AI78" i="36"/>
  <c r="AK78" i="7"/>
  <c r="AK78" i="36" s="1"/>
  <c r="AI65" i="36"/>
  <c r="AK65" i="7"/>
  <c r="AK65" i="36" s="1"/>
  <c r="AI98" i="36"/>
  <c r="AK98" i="7"/>
  <c r="AK98" i="36" s="1"/>
  <c r="AI85" i="36"/>
  <c r="AK85" i="7"/>
  <c r="AK85" i="36" s="1"/>
  <c r="AI81" i="36"/>
  <c r="AK81" i="7"/>
  <c r="AK81" i="36" s="1"/>
  <c r="AI77" i="36"/>
  <c r="AK77" i="7"/>
  <c r="AK77" i="36" s="1"/>
  <c r="AI72" i="36"/>
  <c r="AK72" i="7"/>
  <c r="AK72" i="36" s="1"/>
  <c r="AI68" i="36"/>
  <c r="AK68" i="7"/>
  <c r="AK68" i="36" s="1"/>
  <c r="AI64" i="36"/>
  <c r="AK64" i="7"/>
  <c r="AK64" i="36" s="1"/>
  <c r="AI58" i="36"/>
  <c r="AK58" i="7"/>
  <c r="AK58" i="36" s="1"/>
  <c r="AI87" i="36"/>
  <c r="AK87" i="7"/>
  <c r="AK87" i="36" s="1"/>
  <c r="AI79" i="36"/>
  <c r="AK79" i="7"/>
  <c r="AK79" i="36" s="1"/>
  <c r="AI70" i="36"/>
  <c r="AK70" i="7"/>
  <c r="AK70" i="36" s="1"/>
  <c r="AI59" i="36"/>
  <c r="AK59" i="7"/>
  <c r="AK59" i="36" s="1"/>
  <c r="AI96" i="36"/>
  <c r="AK96" i="7"/>
  <c r="AK96" i="36" s="1"/>
  <c r="AI88" i="36"/>
  <c r="AK88" i="7"/>
  <c r="AK88" i="36" s="1"/>
  <c r="AI84" i="36"/>
  <c r="AK84" i="7"/>
  <c r="AK84" i="36" s="1"/>
  <c r="AI80" i="36"/>
  <c r="AK80" i="7"/>
  <c r="AK80" i="36" s="1"/>
  <c r="AI76" i="36"/>
  <c r="AK76" i="7"/>
  <c r="AK76" i="36" s="1"/>
  <c r="AI71" i="36"/>
  <c r="AK71" i="7"/>
  <c r="AK71" i="36" s="1"/>
  <c r="AI67" i="36"/>
  <c r="AK67" i="7"/>
  <c r="AK67" i="36" s="1"/>
  <c r="AI61" i="36"/>
  <c r="AK61" i="7"/>
  <c r="AK61" i="36" s="1"/>
  <c r="AI57" i="7"/>
  <c r="AI89" i="7"/>
  <c r="AI92" i="36"/>
  <c r="AI93" i="7"/>
  <c r="T31" i="32"/>
  <c r="T28" i="32"/>
  <c r="T19" i="32"/>
  <c r="T13" i="32"/>
  <c r="T2" i="32"/>
  <c r="AI94" i="36" l="1"/>
  <c r="AK94" i="36"/>
  <c r="AI107" i="7"/>
  <c r="AI104" i="7"/>
  <c r="AI108" i="7" s="1"/>
  <c r="AK100" i="7"/>
  <c r="AI106" i="7"/>
  <c r="AI89" i="36"/>
  <c r="AK89" i="7"/>
  <c r="AK89" i="36" s="1"/>
  <c r="AI57" i="36"/>
  <c r="AI106" i="36" s="1"/>
  <c r="AK57" i="7"/>
  <c r="AI93" i="36"/>
  <c r="T35" i="32"/>
  <c r="V18" i="33"/>
  <c r="V23" i="33"/>
  <c r="V9" i="33"/>
  <c r="V12" i="33"/>
  <c r="V13" i="33"/>
  <c r="V132" i="35"/>
  <c r="V154" i="35"/>
  <c r="V133" i="35"/>
  <c r="V126" i="35"/>
  <c r="V118" i="35"/>
  <c r="V113" i="35"/>
  <c r="V124" i="35"/>
  <c r="V127" i="35"/>
  <c r="V159" i="35"/>
  <c r="V71" i="35"/>
  <c r="V77" i="35" s="1"/>
  <c r="V62" i="35"/>
  <c r="V63" i="35"/>
  <c r="V64" i="35"/>
  <c r="V28" i="35"/>
  <c r="V29" i="35"/>
  <c r="V30" i="35"/>
  <c r="V34" i="35"/>
  <c r="V45" i="35"/>
  <c r="V14" i="35"/>
  <c r="AE88" i="5"/>
  <c r="AE4" i="5"/>
  <c r="AE6" i="5"/>
  <c r="AE9" i="5"/>
  <c r="AE15" i="5"/>
  <c r="AE16" i="5"/>
  <c r="AE18" i="5"/>
  <c r="AE27" i="5"/>
  <c r="AE33" i="5"/>
  <c r="AE35" i="5"/>
  <c r="AE2" i="5"/>
  <c r="AF2" i="36" s="1"/>
  <c r="AI107" i="36" l="1"/>
  <c r="AK107" i="7"/>
  <c r="AK100" i="36"/>
  <c r="AK106" i="7"/>
  <c r="AK104" i="7"/>
  <c r="AK37" i="7" s="1"/>
  <c r="AK103" i="7" s="1"/>
  <c r="AK108" i="7" s="1"/>
  <c r="AK57" i="36"/>
  <c r="AK107" i="36"/>
  <c r="V173" i="35"/>
  <c r="V24" i="33"/>
  <c r="V67" i="35"/>
  <c r="V48" i="35"/>
  <c r="V175" i="35" l="1"/>
  <c r="V25" i="33"/>
  <c r="AD103" i="1"/>
  <c r="AD104" i="1"/>
  <c r="AD105" i="1"/>
  <c r="AD106" i="1"/>
  <c r="AD107" i="1"/>
  <c r="AC103" i="2"/>
  <c r="AC104" i="2"/>
  <c r="AC105" i="2"/>
  <c r="AC106" i="2"/>
  <c r="AC107" i="2"/>
  <c r="AD104" i="3"/>
  <c r="AD37" i="3" s="1"/>
  <c r="AD101" i="5" s="1"/>
  <c r="AD104" i="5" s="1"/>
  <c r="AD105" i="3"/>
  <c r="AD106" i="3"/>
  <c r="AD107" i="3"/>
  <c r="AD103" i="5"/>
  <c r="AD105" i="5"/>
  <c r="AD107" i="5"/>
  <c r="AE109" i="36"/>
  <c r="AE3" i="36"/>
  <c r="AE4" i="36"/>
  <c r="AE6" i="36"/>
  <c r="AE7" i="36"/>
  <c r="AE8" i="36"/>
  <c r="AE9" i="36"/>
  <c r="AE10" i="36"/>
  <c r="AE11" i="36"/>
  <c r="AE12" i="36"/>
  <c r="AE13" i="36"/>
  <c r="AE14" i="36"/>
  <c r="AE15" i="36"/>
  <c r="AE16" i="36"/>
  <c r="AE17" i="36"/>
  <c r="AE19" i="36"/>
  <c r="AE20" i="36"/>
  <c r="AE21" i="36"/>
  <c r="AE24" i="36"/>
  <c r="AE25" i="36"/>
  <c r="AE26" i="36"/>
  <c r="AE27" i="36"/>
  <c r="AE28" i="36"/>
  <c r="AE29" i="36"/>
  <c r="AE30" i="36"/>
  <c r="AE31" i="36"/>
  <c r="AE33" i="36"/>
  <c r="AE35" i="36"/>
  <c r="AE36" i="36"/>
  <c r="AE38" i="36"/>
  <c r="AE42" i="36"/>
  <c r="AE49" i="36"/>
  <c r="AE54" i="36"/>
  <c r="AE58" i="36"/>
  <c r="AE64" i="36"/>
  <c r="AE67" i="36"/>
  <c r="AE68" i="36"/>
  <c r="AE71" i="36"/>
  <c r="AE73" i="36"/>
  <c r="AE74" i="36"/>
  <c r="AE77" i="36"/>
  <c r="AE78" i="36"/>
  <c r="AE79" i="36"/>
  <c r="AE80" i="36"/>
  <c r="AE81" i="36"/>
  <c r="AE82" i="36"/>
  <c r="AE83" i="36"/>
  <c r="AE84" i="36"/>
  <c r="AE85" i="36"/>
  <c r="AE86" i="36"/>
  <c r="AE87" i="36"/>
  <c r="AE88" i="36"/>
  <c r="AE89" i="36"/>
  <c r="AE91" i="36"/>
  <c r="AE92" i="36"/>
  <c r="AE93" i="36"/>
  <c r="AE94" i="36"/>
  <c r="AE95" i="36"/>
  <c r="AE96" i="36"/>
  <c r="AE98" i="36"/>
  <c r="AE100" i="36"/>
  <c r="AE2" i="36"/>
  <c r="AE101" i="36" l="1"/>
  <c r="AD103" i="3"/>
  <c r="AD103" i="36" s="1"/>
  <c r="AD106" i="5"/>
  <c r="AD104" i="36"/>
  <c r="AC108" i="2"/>
  <c r="AD108" i="1"/>
  <c r="AD108" i="5"/>
  <c r="U154" i="35"/>
  <c r="T173" i="35"/>
  <c r="U124" i="35"/>
  <c r="U126" i="35"/>
  <c r="U159" i="35"/>
  <c r="U127" i="35"/>
  <c r="T77" i="35"/>
  <c r="U71" i="35"/>
  <c r="U77" i="35" s="1"/>
  <c r="U63" i="35"/>
  <c r="U64" i="35"/>
  <c r="T67" i="35"/>
  <c r="U62" i="35"/>
  <c r="U45" i="35"/>
  <c r="U34" i="35"/>
  <c r="T48" i="35"/>
  <c r="U30" i="35"/>
  <c r="U29" i="35"/>
  <c r="U28" i="35"/>
  <c r="AD108" i="3" l="1"/>
  <c r="U67" i="35"/>
  <c r="U173" i="35"/>
  <c r="U48" i="35"/>
  <c r="T14" i="35"/>
  <c r="T175" i="35" s="1"/>
  <c r="U14" i="35"/>
  <c r="Q4" i="37"/>
  <c r="Q2" i="37"/>
  <c r="U23" i="33"/>
  <c r="U24" i="33" s="1"/>
  <c r="Q19" i="37" l="1"/>
  <c r="U25" i="33"/>
  <c r="U175" i="35"/>
  <c r="S31" i="32"/>
  <c r="R31" i="32"/>
  <c r="S28" i="32"/>
  <c r="R28" i="32"/>
  <c r="S19" i="32"/>
  <c r="R19" i="32"/>
  <c r="S13" i="32"/>
  <c r="R13" i="32"/>
  <c r="S2" i="32"/>
  <c r="R2" i="32"/>
  <c r="AD109" i="36"/>
  <c r="AC3" i="36"/>
  <c r="AD3" i="36"/>
  <c r="AC4" i="36"/>
  <c r="AD4" i="36"/>
  <c r="AC6" i="36"/>
  <c r="AD6" i="36"/>
  <c r="AC7" i="36"/>
  <c r="AD7" i="36"/>
  <c r="AC8" i="36"/>
  <c r="AD8" i="36"/>
  <c r="AC9" i="36"/>
  <c r="AD9" i="36"/>
  <c r="AC10" i="36"/>
  <c r="AD10" i="36"/>
  <c r="AC11" i="36"/>
  <c r="AD11" i="36"/>
  <c r="AC12" i="36"/>
  <c r="AD12" i="36"/>
  <c r="AC13" i="36"/>
  <c r="AD13" i="36"/>
  <c r="AC14" i="36"/>
  <c r="AD14" i="36"/>
  <c r="AC15" i="36"/>
  <c r="AD15" i="36"/>
  <c r="AC16" i="36"/>
  <c r="AD16" i="36"/>
  <c r="AC17" i="36"/>
  <c r="AD17" i="36"/>
  <c r="AC18" i="36"/>
  <c r="AD18" i="36"/>
  <c r="AC19" i="36"/>
  <c r="AD19" i="36"/>
  <c r="AC20" i="36"/>
  <c r="AD20" i="36"/>
  <c r="AC21" i="36"/>
  <c r="AD21" i="36"/>
  <c r="AC22" i="36"/>
  <c r="AD22" i="36"/>
  <c r="AC24" i="36"/>
  <c r="AD24" i="36"/>
  <c r="AC25" i="36"/>
  <c r="AD25" i="36"/>
  <c r="AC26" i="36"/>
  <c r="AD26" i="36"/>
  <c r="AC27" i="36"/>
  <c r="AD27" i="36"/>
  <c r="AC28" i="36"/>
  <c r="AD28" i="36"/>
  <c r="AC29" i="36"/>
  <c r="AD29" i="36"/>
  <c r="AC30" i="36"/>
  <c r="AD30" i="36"/>
  <c r="AC31" i="36"/>
  <c r="AD31" i="36"/>
  <c r="AC32" i="36"/>
  <c r="AD32" i="36"/>
  <c r="AC33" i="36"/>
  <c r="AD33" i="36"/>
  <c r="AC35" i="36"/>
  <c r="AD35" i="36"/>
  <c r="AC36" i="36"/>
  <c r="AD36" i="36"/>
  <c r="AC38" i="36"/>
  <c r="AD38" i="36"/>
  <c r="AC39" i="36"/>
  <c r="AD39" i="36"/>
  <c r="AC40" i="36"/>
  <c r="AD40" i="36"/>
  <c r="AC41" i="36"/>
  <c r="AD41" i="36"/>
  <c r="AC42" i="36"/>
  <c r="AD42" i="36"/>
  <c r="AC43" i="36"/>
  <c r="AD43" i="36"/>
  <c r="AC44" i="36"/>
  <c r="AD44" i="36"/>
  <c r="AC45" i="36"/>
  <c r="AD45" i="36"/>
  <c r="AC46" i="36"/>
  <c r="AD46" i="36"/>
  <c r="AC48" i="36"/>
  <c r="AD48" i="36"/>
  <c r="AC49" i="36"/>
  <c r="AD49" i="36"/>
  <c r="AC50" i="36"/>
  <c r="AD50" i="36"/>
  <c r="AC51" i="36"/>
  <c r="AD51" i="36"/>
  <c r="AC52" i="36"/>
  <c r="AD52" i="36"/>
  <c r="AC53" i="36"/>
  <c r="AD53" i="36"/>
  <c r="AC54" i="36"/>
  <c r="AD54" i="36"/>
  <c r="AC55" i="36"/>
  <c r="AD55" i="36"/>
  <c r="AC56" i="36"/>
  <c r="AD56" i="36"/>
  <c r="AC57" i="36"/>
  <c r="AD57" i="36"/>
  <c r="AC58" i="36"/>
  <c r="AD58" i="36"/>
  <c r="AC59" i="36"/>
  <c r="AD59" i="36"/>
  <c r="AC60" i="36"/>
  <c r="AD60" i="36"/>
  <c r="AC61" i="36"/>
  <c r="AD61" i="36"/>
  <c r="AC64" i="36"/>
  <c r="AD64" i="36"/>
  <c r="AC65" i="36"/>
  <c r="AD65" i="36"/>
  <c r="AC66" i="36"/>
  <c r="AD66" i="36"/>
  <c r="AC67" i="36"/>
  <c r="AD67" i="36"/>
  <c r="AC68" i="36"/>
  <c r="AD68" i="36"/>
  <c r="AC69" i="36"/>
  <c r="AD69" i="36"/>
  <c r="AC70" i="36"/>
  <c r="AD70" i="36"/>
  <c r="AC71" i="36"/>
  <c r="AD71" i="36"/>
  <c r="AC72" i="36"/>
  <c r="AD72" i="36"/>
  <c r="AC73" i="36"/>
  <c r="AD73" i="36"/>
  <c r="AC74" i="36"/>
  <c r="AD74" i="36"/>
  <c r="AC76" i="36"/>
  <c r="AD76" i="36"/>
  <c r="AC77" i="36"/>
  <c r="AD77" i="36"/>
  <c r="AC78" i="36"/>
  <c r="AD78" i="36"/>
  <c r="AC79" i="36"/>
  <c r="AD79" i="36"/>
  <c r="AC80" i="36"/>
  <c r="AD80" i="36"/>
  <c r="AC81" i="36"/>
  <c r="AD81" i="36"/>
  <c r="AC82" i="36"/>
  <c r="AD82" i="36"/>
  <c r="AC83" i="36"/>
  <c r="AD83" i="36"/>
  <c r="AC84" i="36"/>
  <c r="AD84" i="36"/>
  <c r="AC85" i="36"/>
  <c r="AD85" i="36"/>
  <c r="AC86" i="36"/>
  <c r="AD86" i="36"/>
  <c r="AC87" i="36"/>
  <c r="AD87" i="36"/>
  <c r="AC88" i="36"/>
  <c r="AD88" i="36"/>
  <c r="AC89" i="36"/>
  <c r="AD89" i="36"/>
  <c r="AC90" i="36"/>
  <c r="AD90" i="36"/>
  <c r="AC91" i="36"/>
  <c r="AD91" i="36"/>
  <c r="AC92" i="36"/>
  <c r="AD92" i="36"/>
  <c r="AC93" i="36"/>
  <c r="AD93" i="36"/>
  <c r="AC94" i="36"/>
  <c r="AD94" i="36"/>
  <c r="AC95" i="36"/>
  <c r="AD95" i="36"/>
  <c r="AC96" i="36"/>
  <c r="AD96" i="36"/>
  <c r="AC98" i="36"/>
  <c r="AD98" i="36"/>
  <c r="AC100" i="36"/>
  <c r="AD100" i="36"/>
  <c r="AC2" i="36"/>
  <c r="AD2" i="36"/>
  <c r="R35" i="32" l="1"/>
  <c r="S35" i="32"/>
  <c r="AD107" i="36"/>
  <c r="AD105" i="36"/>
  <c r="AB109" i="36"/>
  <c r="AC109" i="36"/>
  <c r="AB11" i="36"/>
  <c r="AB12" i="36"/>
  <c r="AB13" i="36"/>
  <c r="AB14" i="36"/>
  <c r="AB15" i="36"/>
  <c r="AB17" i="36"/>
  <c r="AB18" i="36"/>
  <c r="AB19" i="36"/>
  <c r="AB20" i="36"/>
  <c r="AB21" i="36"/>
  <c r="AB22" i="36"/>
  <c r="AB24" i="36"/>
  <c r="AB25" i="36"/>
  <c r="AB26" i="36"/>
  <c r="AB27" i="36"/>
  <c r="AB28" i="36"/>
  <c r="AB29" i="36"/>
  <c r="AB30" i="36"/>
  <c r="AB31" i="36"/>
  <c r="AB32" i="36"/>
  <c r="AB33" i="36"/>
  <c r="AB35" i="36"/>
  <c r="AB38" i="36"/>
  <c r="AB39" i="36"/>
  <c r="AB40" i="36"/>
  <c r="AB41" i="36"/>
  <c r="AB42" i="36"/>
  <c r="AB43" i="36"/>
  <c r="AB44" i="36"/>
  <c r="AB45" i="36"/>
  <c r="AB46" i="36"/>
  <c r="AB48" i="36"/>
  <c r="AB49" i="36"/>
  <c r="AB50" i="36"/>
  <c r="AB51" i="36"/>
  <c r="AB52" i="36"/>
  <c r="AB53" i="36"/>
  <c r="AB54" i="36"/>
  <c r="AB55" i="36"/>
  <c r="AB56" i="36"/>
  <c r="AB57" i="36"/>
  <c r="AB58" i="36"/>
  <c r="AB59" i="36"/>
  <c r="AB60" i="36"/>
  <c r="AB61" i="36"/>
  <c r="AB64" i="36"/>
  <c r="AB65" i="36"/>
  <c r="AB66" i="36"/>
  <c r="AB67" i="36"/>
  <c r="AB68" i="36"/>
  <c r="AB69" i="36"/>
  <c r="AB70" i="36"/>
  <c r="AB71" i="36"/>
  <c r="AB72" i="36"/>
  <c r="AB73" i="36"/>
  <c r="AB74" i="36"/>
  <c r="AB76" i="36"/>
  <c r="AB77" i="36"/>
  <c r="AB78" i="36"/>
  <c r="AB79" i="36"/>
  <c r="AB80" i="36"/>
  <c r="AB81" i="36"/>
  <c r="AB82" i="36"/>
  <c r="AB83" i="36"/>
  <c r="AB84" i="36"/>
  <c r="AB85" i="36"/>
  <c r="AB86" i="36"/>
  <c r="AB87" i="36"/>
  <c r="AB88" i="36"/>
  <c r="AB89" i="36"/>
  <c r="AB90" i="36"/>
  <c r="AB91" i="36"/>
  <c r="AB92" i="36"/>
  <c r="AB93" i="36"/>
  <c r="AB94" i="36"/>
  <c r="AB95" i="36"/>
  <c r="AB96" i="36"/>
  <c r="AB98" i="36"/>
  <c r="AB100" i="36"/>
  <c r="AB3" i="36"/>
  <c r="AB4" i="36"/>
  <c r="AB6" i="36"/>
  <c r="AB7" i="36"/>
  <c r="AB9" i="36"/>
  <c r="AB10" i="36"/>
  <c r="AB2" i="36"/>
  <c r="AB103" i="5"/>
  <c r="AC103" i="5"/>
  <c r="AB105" i="5"/>
  <c r="AC105" i="5"/>
  <c r="AB107" i="5"/>
  <c r="AC107" i="5"/>
  <c r="AB103" i="1"/>
  <c r="AC103" i="1"/>
  <c r="AB104" i="1"/>
  <c r="AC104" i="1"/>
  <c r="AB105" i="1"/>
  <c r="AC105" i="1"/>
  <c r="AB106" i="1"/>
  <c r="AC106" i="1"/>
  <c r="AB107" i="1"/>
  <c r="AC107" i="1"/>
  <c r="AA103" i="2"/>
  <c r="AB103" i="2"/>
  <c r="AA104" i="2"/>
  <c r="AB104" i="2"/>
  <c r="AA105" i="2"/>
  <c r="AB105" i="2"/>
  <c r="AA106" i="2"/>
  <c r="AB106" i="2"/>
  <c r="AA107" i="2"/>
  <c r="AB107" i="2"/>
  <c r="AC104" i="3"/>
  <c r="AC37" i="3" s="1"/>
  <c r="AC103" i="3" s="1"/>
  <c r="AC105" i="3"/>
  <c r="AC106" i="3"/>
  <c r="AC107" i="3"/>
  <c r="AB104" i="3"/>
  <c r="AB37" i="3" s="1"/>
  <c r="AB37" i="36" s="1"/>
  <c r="AB105" i="3"/>
  <c r="AB106" i="3"/>
  <c r="AB107" i="3"/>
  <c r="AB108" i="2" l="1"/>
  <c r="AB101" i="5"/>
  <c r="AC37" i="36"/>
  <c r="AB103" i="3"/>
  <c r="AB103" i="36" s="1"/>
  <c r="AC101" i="5"/>
  <c r="AD37" i="36"/>
  <c r="AC103" i="36"/>
  <c r="AA108" i="2"/>
  <c r="AC108" i="3"/>
  <c r="AD108" i="36"/>
  <c r="AD111" i="36" s="1"/>
  <c r="AB108" i="1"/>
  <c r="AC108" i="1"/>
  <c r="AB107" i="36"/>
  <c r="AB105" i="36"/>
  <c r="AC107" i="36"/>
  <c r="AC105" i="36"/>
  <c r="C147" i="35"/>
  <c r="C146" i="35"/>
  <c r="AB108" i="3" l="1"/>
  <c r="AC101" i="36"/>
  <c r="AC106" i="36" s="1"/>
  <c r="AB106" i="5"/>
  <c r="AB101" i="36"/>
  <c r="AB106" i="36" s="1"/>
  <c r="AB104" i="5"/>
  <c r="AD101" i="36"/>
  <c r="AD106" i="36" s="1"/>
  <c r="AC104" i="5"/>
  <c r="AC106" i="5"/>
  <c r="AA30" i="5"/>
  <c r="AE30" i="5" s="1"/>
  <c r="C144" i="35"/>
  <c r="H144" i="35"/>
  <c r="F144" i="35"/>
  <c r="H140" i="35"/>
  <c r="F140" i="35"/>
  <c r="AB104" i="36" l="1"/>
  <c r="AB108" i="36" s="1"/>
  <c r="AB111" i="36" s="1"/>
  <c r="AB108" i="5"/>
  <c r="AC108" i="5"/>
  <c r="AC104" i="36"/>
  <c r="AC108" i="36" s="1"/>
  <c r="AC111" i="36" s="1"/>
  <c r="S173" i="35"/>
  <c r="R112" i="35"/>
  <c r="R113" i="35"/>
  <c r="R114" i="35"/>
  <c r="R116" i="35"/>
  <c r="R117" i="35"/>
  <c r="R118" i="35"/>
  <c r="R119" i="35"/>
  <c r="R120" i="35"/>
  <c r="R121" i="35"/>
  <c r="R122" i="35"/>
  <c r="R123" i="35"/>
  <c r="R124" i="35"/>
  <c r="R125" i="35"/>
  <c r="R127" i="35"/>
  <c r="R128" i="35"/>
  <c r="R129" i="35"/>
  <c r="R130" i="35"/>
  <c r="R131" i="35"/>
  <c r="R132" i="35"/>
  <c r="R133" i="35"/>
  <c r="R134" i="35"/>
  <c r="R135" i="35"/>
  <c r="R136" i="35"/>
  <c r="R137" i="35"/>
  <c r="R138" i="35"/>
  <c r="R139" i="35"/>
  <c r="R140" i="35"/>
  <c r="R141" i="35"/>
  <c r="R142" i="35"/>
  <c r="R144" i="35"/>
  <c r="R145" i="35"/>
  <c r="R146" i="35"/>
  <c r="R147" i="35"/>
  <c r="R156" i="35"/>
  <c r="R157" i="35"/>
  <c r="R158" i="35"/>
  <c r="R159" i="35"/>
  <c r="C77" i="35"/>
  <c r="S14" i="35"/>
  <c r="S48" i="35"/>
  <c r="S77" i="35"/>
  <c r="R75" i="35"/>
  <c r="R76" i="35"/>
  <c r="R74" i="35"/>
  <c r="S67" i="35"/>
  <c r="R59" i="35"/>
  <c r="R60" i="35"/>
  <c r="R61" i="35"/>
  <c r="R62" i="35"/>
  <c r="R63" i="35"/>
  <c r="R64" i="35"/>
  <c r="R66" i="35"/>
  <c r="S175" i="35" l="1"/>
  <c r="R77" i="35"/>
  <c r="AA90" i="1" s="1"/>
  <c r="AE90" i="1" s="1"/>
  <c r="R45" i="35"/>
  <c r="R46" i="35"/>
  <c r="R29" i="35"/>
  <c r="R30" i="35"/>
  <c r="R31" i="35"/>
  <c r="R32" i="35"/>
  <c r="R33" i="35"/>
  <c r="R28" i="35"/>
  <c r="H14" i="35"/>
  <c r="R14" i="35"/>
  <c r="AA90" i="3" s="1"/>
  <c r="AE90" i="3" s="1"/>
  <c r="C14" i="35"/>
  <c r="AE107" i="3" l="1"/>
  <c r="AE107" i="1"/>
  <c r="R48" i="35"/>
  <c r="AA81" i="5"/>
  <c r="P19" i="37"/>
  <c r="AA87" i="5" s="1"/>
  <c r="T25" i="33"/>
  <c r="AA82" i="5" s="1"/>
  <c r="AE82" i="5" s="1"/>
  <c r="AA50" i="7" l="1"/>
  <c r="AE50" i="7" s="1"/>
  <c r="AA51" i="7"/>
  <c r="AE51" i="7" s="1"/>
  <c r="AA66" i="3"/>
  <c r="AE66" i="3" s="1"/>
  <c r="AA69" i="3"/>
  <c r="AE69" i="3" s="1"/>
  <c r="AA70" i="3"/>
  <c r="AE70" i="3" s="1"/>
  <c r="Z41" i="2"/>
  <c r="AD41" i="2" s="1"/>
  <c r="AA61" i="1"/>
  <c r="AE61" i="1" s="1"/>
  <c r="AA65" i="1"/>
  <c r="AE65" i="1" s="1"/>
  <c r="AA66" i="1"/>
  <c r="AE66" i="1" s="1"/>
  <c r="AA18" i="1"/>
  <c r="AE18" i="1" s="1"/>
  <c r="AA109" i="36"/>
  <c r="AA59" i="5"/>
  <c r="AE59" i="5" s="1"/>
  <c r="AA65" i="5"/>
  <c r="AE65" i="5" s="1"/>
  <c r="AA68" i="5"/>
  <c r="AE68" i="5" s="1"/>
  <c r="AA69" i="5"/>
  <c r="AE69" i="5" s="1"/>
  <c r="AA22" i="5"/>
  <c r="AE22" i="5" s="1"/>
  <c r="AA14" i="5"/>
  <c r="AE14" i="5" s="1"/>
  <c r="AA13" i="5"/>
  <c r="AE13" i="5" s="1"/>
  <c r="AA12" i="5"/>
  <c r="AE12" i="5" s="1"/>
  <c r="AA3" i="5" l="1"/>
  <c r="AE3" i="5" s="1"/>
  <c r="AE103" i="5" s="1"/>
  <c r="AA10" i="5"/>
  <c r="Q19" i="32"/>
  <c r="L2" i="32"/>
  <c r="AA103" i="5" l="1"/>
  <c r="N72" i="1"/>
  <c r="O72" i="1"/>
  <c r="P72" i="1"/>
  <c r="Q72" i="1"/>
  <c r="R72" i="1"/>
  <c r="S72" i="1"/>
  <c r="T72" i="1"/>
  <c r="U72" i="1"/>
  <c r="H74" i="35"/>
  <c r="H77" i="35" s="1"/>
  <c r="F74" i="35"/>
  <c r="F77" i="35" s="1"/>
  <c r="Z18" i="1"/>
  <c r="Z61" i="1"/>
  <c r="Z65" i="1"/>
  <c r="Z66" i="1"/>
  <c r="O14" i="37"/>
  <c r="O23" i="33"/>
  <c r="O22" i="33"/>
  <c r="I136" i="35"/>
  <c r="I133" i="35"/>
  <c r="S24" i="33"/>
  <c r="Z7" i="5"/>
  <c r="Z59" i="5"/>
  <c r="Z65" i="5"/>
  <c r="Z68" i="5"/>
  <c r="Z69" i="5"/>
  <c r="Z50" i="7"/>
  <c r="Z51" i="7"/>
  <c r="Y41" i="2"/>
  <c r="H24" i="35"/>
  <c r="H25" i="35"/>
  <c r="H26" i="35"/>
  <c r="H27" i="35"/>
  <c r="Z66" i="3" l="1"/>
  <c r="Z69" i="3"/>
  <c r="Z70" i="3"/>
  <c r="O91" i="35" l="1"/>
  <c r="O110" i="35"/>
  <c r="O98" i="35"/>
  <c r="O94" i="35"/>
  <c r="O103" i="35"/>
  <c r="O93" i="35"/>
  <c r="M10" i="37"/>
  <c r="M11" i="37"/>
  <c r="M14" i="37"/>
  <c r="M15" i="37"/>
  <c r="M16" i="37"/>
  <c r="M2" i="37"/>
  <c r="Q9" i="33"/>
  <c r="Q3" i="33"/>
  <c r="Q4" i="33"/>
  <c r="Q7" i="33"/>
  <c r="Q8" i="33"/>
  <c r="Q17" i="33"/>
  <c r="Q19" i="33"/>
  <c r="Q21" i="33"/>
  <c r="Q24" i="33"/>
  <c r="Q2" i="33"/>
  <c r="T72" i="2"/>
  <c r="U52" i="7"/>
  <c r="S88" i="5" l="1"/>
  <c r="T27" i="5"/>
  <c r="Z27" i="5" s="1"/>
  <c r="T52" i="5"/>
  <c r="S52" i="5"/>
  <c r="V109" i="36" l="1"/>
  <c r="W109" i="36"/>
  <c r="V30" i="5"/>
  <c r="X30" i="5" s="1"/>
  <c r="W30" i="5"/>
  <c r="Z30" i="5" s="1"/>
  <c r="V31" i="5"/>
  <c r="W31" i="5"/>
  <c r="Z31" i="5" s="1"/>
  <c r="V40" i="5"/>
  <c r="X40" i="5" s="1"/>
  <c r="W40" i="5"/>
  <c r="V41" i="5"/>
  <c r="W41" i="5"/>
  <c r="V42" i="5"/>
  <c r="W42" i="5"/>
  <c r="V43" i="5"/>
  <c r="X43" i="5" s="1"/>
  <c r="W43" i="5"/>
  <c r="V44" i="5"/>
  <c r="X44" i="5" s="1"/>
  <c r="W44" i="5"/>
  <c r="V46" i="5"/>
  <c r="X46" i="5" s="1"/>
  <c r="W46" i="5"/>
  <c r="V49" i="5"/>
  <c r="X49" i="5" s="1"/>
  <c r="W49" i="5"/>
  <c r="V51" i="5"/>
  <c r="X51" i="5" s="1"/>
  <c r="W51" i="5"/>
  <c r="V52" i="5"/>
  <c r="X52" i="5" s="1"/>
  <c r="W52" i="5"/>
  <c r="V53" i="5"/>
  <c r="X53" i="5" s="1"/>
  <c r="W53" i="5"/>
  <c r="V54" i="5"/>
  <c r="W54" i="5"/>
  <c r="V55" i="5"/>
  <c r="X55" i="5" s="1"/>
  <c r="W55" i="5"/>
  <c r="X69" i="5"/>
  <c r="V76" i="5"/>
  <c r="X76" i="5" s="1"/>
  <c r="W76" i="5"/>
  <c r="Z76" i="5" s="1"/>
  <c r="V83" i="5"/>
  <c r="X83" i="5" s="1"/>
  <c r="W83" i="5"/>
  <c r="V85" i="5"/>
  <c r="W85" i="5"/>
  <c r="V86" i="5"/>
  <c r="W86" i="5"/>
  <c r="V100" i="5"/>
  <c r="X100" i="5" s="1"/>
  <c r="W100" i="5"/>
  <c r="V3" i="7"/>
  <c r="W3" i="7"/>
  <c r="V6" i="7"/>
  <c r="W6" i="7"/>
  <c r="V7" i="7"/>
  <c r="W7" i="7"/>
  <c r="V9" i="7"/>
  <c r="W9" i="7"/>
  <c r="V10" i="7"/>
  <c r="W10" i="7"/>
  <c r="V12" i="7"/>
  <c r="W12" i="7"/>
  <c r="V13" i="7"/>
  <c r="W13" i="7"/>
  <c r="V14" i="7"/>
  <c r="W14" i="7"/>
  <c r="V15" i="7"/>
  <c r="W15" i="7"/>
  <c r="V16" i="7"/>
  <c r="W16" i="7"/>
  <c r="V17" i="7"/>
  <c r="W17" i="7"/>
  <c r="V18" i="7"/>
  <c r="W18" i="7"/>
  <c r="V19" i="7"/>
  <c r="W19" i="7"/>
  <c r="V20" i="7"/>
  <c r="W20" i="7"/>
  <c r="V21" i="7"/>
  <c r="W21" i="7"/>
  <c r="V22" i="7"/>
  <c r="W22" i="7"/>
  <c r="V24" i="7"/>
  <c r="W24" i="7"/>
  <c r="V25" i="7"/>
  <c r="W25" i="7"/>
  <c r="V26" i="7"/>
  <c r="W26" i="7"/>
  <c r="V27" i="7"/>
  <c r="W27" i="7"/>
  <c r="V28" i="7"/>
  <c r="W28" i="7"/>
  <c r="V29" i="7"/>
  <c r="W29" i="7"/>
  <c r="V30" i="7"/>
  <c r="W30" i="7"/>
  <c r="V31" i="7"/>
  <c r="W31" i="7"/>
  <c r="V32" i="7"/>
  <c r="W32" i="7"/>
  <c r="V33" i="7"/>
  <c r="W33" i="7"/>
  <c r="V35" i="7"/>
  <c r="W35" i="7"/>
  <c r="V38" i="7"/>
  <c r="W38" i="7"/>
  <c r="V40" i="7"/>
  <c r="X40" i="7" s="1"/>
  <c r="W40" i="7"/>
  <c r="V41" i="7"/>
  <c r="W41" i="7"/>
  <c r="V42" i="7"/>
  <c r="W42" i="7"/>
  <c r="V44" i="7"/>
  <c r="X44" i="7" s="1"/>
  <c r="W44" i="7"/>
  <c r="V46" i="7"/>
  <c r="X46" i="7" s="1"/>
  <c r="W46" i="7"/>
  <c r="V49" i="7"/>
  <c r="W49" i="7"/>
  <c r="V50" i="7"/>
  <c r="V52" i="7"/>
  <c r="W52" i="7"/>
  <c r="AA52" i="7" s="1"/>
  <c r="AE52" i="7" s="1"/>
  <c r="V53" i="7"/>
  <c r="X53" i="7" s="1"/>
  <c r="W53" i="7"/>
  <c r="V54" i="7"/>
  <c r="W54" i="7"/>
  <c r="V55" i="7"/>
  <c r="X55" i="7" s="1"/>
  <c r="W55" i="7"/>
  <c r="V56" i="7"/>
  <c r="W56" i="7"/>
  <c r="AA56" i="7" s="1"/>
  <c r="AE56" i="7" s="1"/>
  <c r="V57" i="7"/>
  <c r="X57" i="7" s="1"/>
  <c r="W57" i="7"/>
  <c r="V58" i="7"/>
  <c r="W58" i="7"/>
  <c r="V59" i="7"/>
  <c r="X59" i="7" s="1"/>
  <c r="W59" i="7"/>
  <c r="V60" i="7"/>
  <c r="X60" i="7" s="1"/>
  <c r="W60" i="7"/>
  <c r="V61" i="7"/>
  <c r="X61" i="7" s="1"/>
  <c r="W61" i="7"/>
  <c r="V64" i="7"/>
  <c r="W64" i="7"/>
  <c r="V65" i="7"/>
  <c r="X65" i="7" s="1"/>
  <c r="W65" i="7"/>
  <c r="V66" i="7"/>
  <c r="X66" i="7" s="1"/>
  <c r="W66" i="7"/>
  <c r="V67" i="7"/>
  <c r="W67" i="7"/>
  <c r="V68" i="7"/>
  <c r="W68" i="7"/>
  <c r="V69" i="7"/>
  <c r="X69" i="7" s="1"/>
  <c r="W69" i="7"/>
  <c r="V70" i="7"/>
  <c r="X70" i="7" s="1"/>
  <c r="W70" i="7"/>
  <c r="V71" i="7"/>
  <c r="W71" i="7"/>
  <c r="V73" i="7"/>
  <c r="W73" i="7"/>
  <c r="V74" i="7"/>
  <c r="W74" i="7"/>
  <c r="V76" i="7"/>
  <c r="W76" i="7"/>
  <c r="V77" i="7"/>
  <c r="W77" i="7"/>
  <c r="V78" i="7"/>
  <c r="W78" i="7"/>
  <c r="V79" i="7"/>
  <c r="W79" i="7"/>
  <c r="V80" i="7"/>
  <c r="W80" i="7"/>
  <c r="V81" i="7"/>
  <c r="W81" i="7"/>
  <c r="V82" i="7"/>
  <c r="W82" i="7"/>
  <c r="V83" i="7"/>
  <c r="W83" i="7"/>
  <c r="V84" i="7"/>
  <c r="W84" i="7"/>
  <c r="V85" i="7"/>
  <c r="W85" i="7"/>
  <c r="V86" i="7"/>
  <c r="W86" i="7"/>
  <c r="V87" i="7"/>
  <c r="W87" i="7"/>
  <c r="V88" i="7"/>
  <c r="W88" i="7"/>
  <c r="V89" i="7"/>
  <c r="W89" i="7"/>
  <c r="V91" i="7"/>
  <c r="W91" i="7"/>
  <c r="V92" i="7"/>
  <c r="W92" i="7"/>
  <c r="V93" i="7"/>
  <c r="W93" i="7"/>
  <c r="V94" i="7"/>
  <c r="W94" i="7"/>
  <c r="V95" i="7"/>
  <c r="W95" i="7"/>
  <c r="V96" i="7"/>
  <c r="W96" i="7"/>
  <c r="V98" i="7"/>
  <c r="W98" i="7"/>
  <c r="V100" i="7"/>
  <c r="W100" i="7"/>
  <c r="V101" i="7"/>
  <c r="W101" i="7"/>
  <c r="W2" i="7"/>
  <c r="V2" i="7"/>
  <c r="V3" i="3"/>
  <c r="W3" i="3"/>
  <c r="V4" i="3"/>
  <c r="W4" i="3"/>
  <c r="V6" i="3"/>
  <c r="W6" i="3"/>
  <c r="V7" i="3"/>
  <c r="W7" i="3"/>
  <c r="V9" i="3"/>
  <c r="W9" i="3"/>
  <c r="V10" i="3"/>
  <c r="W10" i="3"/>
  <c r="V12" i="3"/>
  <c r="W12" i="3"/>
  <c r="V13" i="3"/>
  <c r="W13" i="3"/>
  <c r="V14" i="3"/>
  <c r="W14" i="3"/>
  <c r="V15" i="3"/>
  <c r="W15" i="3"/>
  <c r="V16" i="3"/>
  <c r="W16" i="3"/>
  <c r="V17" i="3"/>
  <c r="W17" i="3"/>
  <c r="V18" i="3"/>
  <c r="W18" i="3"/>
  <c r="V19" i="3"/>
  <c r="W19" i="3"/>
  <c r="V20" i="3"/>
  <c r="W20" i="3"/>
  <c r="V21" i="3"/>
  <c r="W21" i="3"/>
  <c r="V22" i="3"/>
  <c r="W22" i="3"/>
  <c r="V24" i="3"/>
  <c r="W24" i="3"/>
  <c r="V25" i="3"/>
  <c r="W25" i="3"/>
  <c r="V26" i="3"/>
  <c r="W26" i="3"/>
  <c r="V27" i="3"/>
  <c r="W27" i="3"/>
  <c r="V28" i="3"/>
  <c r="W28" i="3"/>
  <c r="V29" i="3"/>
  <c r="W29" i="3"/>
  <c r="V30" i="3"/>
  <c r="W30" i="3"/>
  <c r="V31" i="3"/>
  <c r="W31" i="3"/>
  <c r="V33" i="3"/>
  <c r="W33" i="3"/>
  <c r="V35" i="3"/>
  <c r="W35" i="3"/>
  <c r="V38" i="3"/>
  <c r="W38" i="3"/>
  <c r="V40" i="3"/>
  <c r="W40" i="3"/>
  <c r="V42" i="3"/>
  <c r="W42" i="3"/>
  <c r="V48" i="3"/>
  <c r="W48" i="3"/>
  <c r="V49" i="3"/>
  <c r="W49" i="3"/>
  <c r="V50" i="3"/>
  <c r="W50" i="3"/>
  <c r="V51" i="3"/>
  <c r="W51" i="3"/>
  <c r="V53" i="3"/>
  <c r="W53" i="3"/>
  <c r="AA53" i="3" s="1"/>
  <c r="AE53" i="3" s="1"/>
  <c r="V54" i="3"/>
  <c r="W54" i="3"/>
  <c r="V55" i="3"/>
  <c r="W55" i="3"/>
  <c r="V58" i="3"/>
  <c r="W58" i="3"/>
  <c r="V67" i="3"/>
  <c r="W67" i="3"/>
  <c r="V68" i="3"/>
  <c r="W68" i="3"/>
  <c r="V71" i="3"/>
  <c r="W71" i="3"/>
  <c r="AA71" i="3" s="1"/>
  <c r="V73" i="3"/>
  <c r="W73" i="3"/>
  <c r="V74" i="3"/>
  <c r="W74" i="3"/>
  <c r="V76" i="3"/>
  <c r="W76" i="3"/>
  <c r="V77" i="3"/>
  <c r="W77" i="3"/>
  <c r="V78" i="3"/>
  <c r="W78" i="3"/>
  <c r="V79" i="3"/>
  <c r="W79" i="3"/>
  <c r="V80" i="3"/>
  <c r="W80" i="3"/>
  <c r="V81" i="3"/>
  <c r="W81" i="3"/>
  <c r="V82" i="3"/>
  <c r="W82" i="3"/>
  <c r="V83" i="3"/>
  <c r="W83" i="3"/>
  <c r="V84" i="3"/>
  <c r="W84" i="3"/>
  <c r="V85" i="3"/>
  <c r="W85" i="3"/>
  <c r="V86" i="3"/>
  <c r="W86" i="3"/>
  <c r="V87" i="3"/>
  <c r="W87" i="3"/>
  <c r="V88" i="3"/>
  <c r="W88" i="3"/>
  <c r="V89" i="3"/>
  <c r="W89" i="3"/>
  <c r="V90" i="3"/>
  <c r="W90" i="3"/>
  <c r="Z90" i="3" s="1"/>
  <c r="V91" i="3"/>
  <c r="W91" i="3"/>
  <c r="AA91" i="3" s="1"/>
  <c r="V92" i="3"/>
  <c r="W92" i="3"/>
  <c r="V93" i="3"/>
  <c r="W93" i="3"/>
  <c r="V94" i="3"/>
  <c r="W94" i="3"/>
  <c r="V95" i="3"/>
  <c r="W95" i="3"/>
  <c r="AA95" i="3" s="1"/>
  <c r="V96" i="3"/>
  <c r="W96" i="3"/>
  <c r="V98" i="3"/>
  <c r="W98" i="3"/>
  <c r="V100" i="3"/>
  <c r="W100" i="3"/>
  <c r="V101" i="3"/>
  <c r="W101" i="3"/>
  <c r="W2" i="3"/>
  <c r="V2" i="3"/>
  <c r="U3" i="2"/>
  <c r="V3" i="2"/>
  <c r="U4" i="2"/>
  <c r="V4" i="2"/>
  <c r="U6" i="2"/>
  <c r="V6" i="2"/>
  <c r="U7" i="2"/>
  <c r="V7" i="2"/>
  <c r="U9" i="2"/>
  <c r="V9" i="2"/>
  <c r="U10" i="2"/>
  <c r="V10" i="2"/>
  <c r="U12" i="2"/>
  <c r="V12" i="2"/>
  <c r="U13" i="2"/>
  <c r="V13" i="2"/>
  <c r="U14" i="2"/>
  <c r="V14" i="2"/>
  <c r="U15" i="2"/>
  <c r="V15" i="2"/>
  <c r="U16" i="2"/>
  <c r="V16" i="2"/>
  <c r="U17" i="2"/>
  <c r="V17" i="2"/>
  <c r="U18" i="2"/>
  <c r="W18" i="2" s="1"/>
  <c r="V18" i="2"/>
  <c r="U19" i="2"/>
  <c r="V19" i="2"/>
  <c r="U20" i="2"/>
  <c r="V20" i="2"/>
  <c r="U21" i="2"/>
  <c r="V21" i="2"/>
  <c r="U22" i="2"/>
  <c r="V22" i="2"/>
  <c r="U24" i="2"/>
  <c r="V24" i="2"/>
  <c r="U25" i="2"/>
  <c r="V25" i="2"/>
  <c r="U26" i="2"/>
  <c r="V26" i="2"/>
  <c r="U27" i="2"/>
  <c r="V27" i="2"/>
  <c r="U28" i="2"/>
  <c r="V28" i="2"/>
  <c r="U29" i="2"/>
  <c r="V29" i="2"/>
  <c r="U30" i="2"/>
  <c r="V30" i="2"/>
  <c r="U31" i="2"/>
  <c r="V31" i="2"/>
  <c r="U32" i="2"/>
  <c r="V32" i="2"/>
  <c r="U33" i="2"/>
  <c r="V33" i="2"/>
  <c r="U35" i="2"/>
  <c r="V35" i="2"/>
  <c r="U38" i="2"/>
  <c r="V38" i="2"/>
  <c r="U40" i="2"/>
  <c r="W40" i="2" s="1"/>
  <c r="V40" i="2"/>
  <c r="U41" i="2"/>
  <c r="W41" i="2" s="1"/>
  <c r="U42" i="2"/>
  <c r="V42" i="2"/>
  <c r="U43" i="2"/>
  <c r="W43" i="2" s="1"/>
  <c r="V43" i="2"/>
  <c r="U44" i="2"/>
  <c r="W44" i="2" s="1"/>
  <c r="V44" i="2"/>
  <c r="U45" i="2"/>
  <c r="V45" i="2"/>
  <c r="U46" i="2"/>
  <c r="W46" i="2" s="1"/>
  <c r="V46" i="2"/>
  <c r="U48" i="2"/>
  <c r="W48" i="2" s="1"/>
  <c r="V48" i="2"/>
  <c r="U49" i="2"/>
  <c r="V49" i="2"/>
  <c r="U50" i="2"/>
  <c r="W50" i="2" s="1"/>
  <c r="V50" i="2"/>
  <c r="U51" i="2"/>
  <c r="V51" i="2"/>
  <c r="U52" i="2"/>
  <c r="W52" i="2" s="1"/>
  <c r="V52" i="2"/>
  <c r="U53" i="2"/>
  <c r="W53" i="2" s="1"/>
  <c r="V53" i="2"/>
  <c r="U54" i="2"/>
  <c r="V54" i="2"/>
  <c r="U55" i="2"/>
  <c r="W55" i="2" s="1"/>
  <c r="V55" i="2"/>
  <c r="U56" i="2"/>
  <c r="V56" i="2"/>
  <c r="Z56" i="2" s="1"/>
  <c r="AD56" i="2" s="1"/>
  <c r="U57" i="2"/>
  <c r="W57" i="2" s="1"/>
  <c r="V57" i="2"/>
  <c r="U58" i="2"/>
  <c r="V58" i="2"/>
  <c r="U59" i="2"/>
  <c r="V59" i="2"/>
  <c r="U60" i="2"/>
  <c r="W60" i="2" s="1"/>
  <c r="V60" i="2"/>
  <c r="U61" i="2"/>
  <c r="V61" i="2"/>
  <c r="U64" i="2"/>
  <c r="V64" i="2"/>
  <c r="U65" i="2"/>
  <c r="W65" i="2" s="1"/>
  <c r="V65" i="2"/>
  <c r="U66" i="2"/>
  <c r="W66" i="2" s="1"/>
  <c r="V66" i="2"/>
  <c r="Z66" i="2" s="1"/>
  <c r="AD66" i="2" s="1"/>
  <c r="U67" i="2"/>
  <c r="V67" i="2"/>
  <c r="U68" i="2"/>
  <c r="V68" i="2"/>
  <c r="U69" i="2"/>
  <c r="W69" i="2" s="1"/>
  <c r="V69" i="2"/>
  <c r="Y69" i="2" s="1"/>
  <c r="U70" i="2"/>
  <c r="W70" i="2" s="1"/>
  <c r="V70" i="2"/>
  <c r="U71" i="2"/>
  <c r="V71" i="2"/>
  <c r="U73" i="2"/>
  <c r="V73" i="2"/>
  <c r="U74" i="2"/>
  <c r="V74" i="2"/>
  <c r="U76" i="2"/>
  <c r="W76" i="2" s="1"/>
  <c r="V76" i="2"/>
  <c r="U77" i="2"/>
  <c r="V77" i="2"/>
  <c r="U78" i="2"/>
  <c r="V78" i="2"/>
  <c r="U79" i="2"/>
  <c r="V79" i="2"/>
  <c r="Z79" i="2" s="1"/>
  <c r="U80" i="2"/>
  <c r="V80" i="2"/>
  <c r="U81" i="2"/>
  <c r="V81" i="2"/>
  <c r="U82" i="2"/>
  <c r="V82" i="2"/>
  <c r="U83" i="2"/>
  <c r="V83" i="2"/>
  <c r="Z83" i="2" s="1"/>
  <c r="U84" i="2"/>
  <c r="V84" i="2"/>
  <c r="U85" i="2"/>
  <c r="V85" i="2"/>
  <c r="U86" i="2"/>
  <c r="V86" i="2"/>
  <c r="U87" i="2"/>
  <c r="V87" i="2"/>
  <c r="U88" i="2"/>
  <c r="V88" i="2"/>
  <c r="U89" i="2"/>
  <c r="V89" i="2"/>
  <c r="U91" i="2"/>
  <c r="V91" i="2"/>
  <c r="U92" i="2"/>
  <c r="V92" i="2"/>
  <c r="U93" i="2"/>
  <c r="V93" i="2"/>
  <c r="U94" i="2"/>
  <c r="V94" i="2"/>
  <c r="U95" i="2"/>
  <c r="V95" i="2"/>
  <c r="U96" i="2"/>
  <c r="V96" i="2"/>
  <c r="U98" i="2"/>
  <c r="V98" i="2"/>
  <c r="U100" i="2"/>
  <c r="V100" i="2"/>
  <c r="U101" i="2"/>
  <c r="V101" i="2"/>
  <c r="V2" i="2"/>
  <c r="U2" i="2"/>
  <c r="V3" i="1"/>
  <c r="W3" i="1" s="1"/>
  <c r="Z3" i="1" s="1"/>
  <c r="V4" i="1"/>
  <c r="V6" i="1"/>
  <c r="W6" i="1" s="1"/>
  <c r="Z6" i="1" s="1"/>
  <c r="V7" i="1"/>
  <c r="W7" i="1" s="1"/>
  <c r="Z7" i="1" s="1"/>
  <c r="V9" i="1"/>
  <c r="W9" i="1" s="1"/>
  <c r="Z9" i="1" s="1"/>
  <c r="V10" i="1"/>
  <c r="V12" i="1"/>
  <c r="V13" i="1"/>
  <c r="W13" i="1" s="1"/>
  <c r="Z13" i="1" s="1"/>
  <c r="V14" i="1"/>
  <c r="V15" i="1"/>
  <c r="V16" i="1"/>
  <c r="W16" i="1" s="1"/>
  <c r="Z16" i="1" s="1"/>
  <c r="V17" i="1"/>
  <c r="V18" i="1"/>
  <c r="V19" i="1"/>
  <c r="W19" i="1" s="1"/>
  <c r="V20" i="1"/>
  <c r="W20" i="1" s="1"/>
  <c r="V21" i="1"/>
  <c r="W21" i="1" s="1"/>
  <c r="AA21" i="1" s="1"/>
  <c r="V22" i="1"/>
  <c r="W22" i="1" s="1"/>
  <c r="V24" i="1"/>
  <c r="W24" i="1" s="1"/>
  <c r="V25" i="1"/>
  <c r="V26" i="1"/>
  <c r="V27" i="1"/>
  <c r="W27" i="1" s="1"/>
  <c r="V28" i="1"/>
  <c r="W28" i="1" s="1"/>
  <c r="V29" i="1"/>
  <c r="V30" i="1"/>
  <c r="V31" i="1"/>
  <c r="W31" i="1" s="1"/>
  <c r="V32" i="1"/>
  <c r="W32" i="1" s="1"/>
  <c r="V33" i="1"/>
  <c r="W33" i="1" s="1"/>
  <c r="V35" i="1"/>
  <c r="V38" i="1"/>
  <c r="W38" i="1" s="1"/>
  <c r="V40" i="1"/>
  <c r="W40" i="1" s="1"/>
  <c r="AA40" i="1" s="1"/>
  <c r="V41" i="1"/>
  <c r="W41" i="1" s="1"/>
  <c r="V42" i="1"/>
  <c r="W42" i="1" s="1"/>
  <c r="V43" i="1"/>
  <c r="V46" i="1"/>
  <c r="W46" i="1" s="1"/>
  <c r="V48" i="1"/>
  <c r="V49" i="1"/>
  <c r="V50" i="1"/>
  <c r="W50" i="1" s="1"/>
  <c r="V51" i="1"/>
  <c r="V54" i="1"/>
  <c r="W54" i="1" s="1"/>
  <c r="V56" i="1"/>
  <c r="V57" i="1"/>
  <c r="V58" i="1"/>
  <c r="W58" i="1" s="1"/>
  <c r="V59" i="1"/>
  <c r="X59" i="1" s="1"/>
  <c r="V60" i="1"/>
  <c r="V61" i="1"/>
  <c r="V64" i="1"/>
  <c r="W64" i="1" s="1"/>
  <c r="V65" i="1"/>
  <c r="V66" i="1"/>
  <c r="V67" i="1"/>
  <c r="W67" i="1" s="1"/>
  <c r="V68" i="1"/>
  <c r="W68" i="1" s="1"/>
  <c r="V69" i="1"/>
  <c r="W69" i="1" s="1"/>
  <c r="AA69" i="1" s="1"/>
  <c r="AE69" i="1" s="1"/>
  <c r="V70" i="1"/>
  <c r="W70" i="1" s="1"/>
  <c r="V71" i="1"/>
  <c r="W71" i="1" s="1"/>
  <c r="V73" i="1"/>
  <c r="W73" i="1" s="1"/>
  <c r="AA73" i="1" s="1"/>
  <c r="V74" i="1"/>
  <c r="V76" i="1"/>
  <c r="X76" i="1" s="1"/>
  <c r="V77" i="1"/>
  <c r="V78" i="1"/>
  <c r="W78" i="1" s="1"/>
  <c r="AA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V86" i="1"/>
  <c r="W86" i="1" s="1"/>
  <c r="AA86" i="1" s="1"/>
  <c r="V87" i="1"/>
  <c r="W87" i="1" s="1"/>
  <c r="V88" i="1"/>
  <c r="V89" i="1"/>
  <c r="W89" i="1" s="1"/>
  <c r="AA89" i="1" s="1"/>
  <c r="V90" i="1"/>
  <c r="W90" i="1" s="1"/>
  <c r="Z90" i="1" s="1"/>
  <c r="V91" i="1"/>
  <c r="W91" i="1" s="1"/>
  <c r="V92" i="1"/>
  <c r="W92" i="1" s="1"/>
  <c r="AA92" i="1" s="1"/>
  <c r="V93" i="1"/>
  <c r="V94" i="1"/>
  <c r="W94" i="1" s="1"/>
  <c r="V95" i="1"/>
  <c r="W95" i="1" s="1"/>
  <c r="V96" i="1"/>
  <c r="W96" i="1" s="1"/>
  <c r="AA96" i="1" s="1"/>
  <c r="V98" i="1"/>
  <c r="V100" i="1"/>
  <c r="W100" i="1" s="1"/>
  <c r="V101" i="1"/>
  <c r="W101" i="1" s="1"/>
  <c r="V2" i="1"/>
  <c r="Z58" i="3" l="1"/>
  <c r="AA58" i="3"/>
  <c r="Z51" i="3"/>
  <c r="AA51" i="3"/>
  <c r="Z42" i="3"/>
  <c r="AA42" i="3"/>
  <c r="Z33" i="3"/>
  <c r="AA33" i="3"/>
  <c r="Z28" i="3"/>
  <c r="AA28" i="3"/>
  <c r="Z24" i="3"/>
  <c r="AA24" i="3"/>
  <c r="Z19" i="3"/>
  <c r="AA19" i="3"/>
  <c r="Z15" i="3"/>
  <c r="AA15" i="3"/>
  <c r="Z10" i="3"/>
  <c r="AA10" i="3"/>
  <c r="Z4" i="3"/>
  <c r="AA4" i="3"/>
  <c r="Z100" i="7"/>
  <c r="AA100" i="7"/>
  <c r="Z94" i="7"/>
  <c r="AA94" i="7"/>
  <c r="AA89" i="7"/>
  <c r="AA85" i="7"/>
  <c r="AA83" i="7"/>
  <c r="AA79" i="7"/>
  <c r="Z71" i="7"/>
  <c r="AA71" i="7"/>
  <c r="Z67" i="7"/>
  <c r="AA67" i="7"/>
  <c r="Z65" i="7"/>
  <c r="AA65" i="7"/>
  <c r="AE65" i="7" s="1"/>
  <c r="Z59" i="7"/>
  <c r="AA59" i="7"/>
  <c r="AE59" i="7" s="1"/>
  <c r="Z57" i="7"/>
  <c r="AA57" i="7"/>
  <c r="AE57" i="7" s="1"/>
  <c r="Z55" i="7"/>
  <c r="AA55" i="7"/>
  <c r="AE55" i="7" s="1"/>
  <c r="Z100" i="3"/>
  <c r="AA100" i="3"/>
  <c r="Z96" i="3"/>
  <c r="AA96" i="3"/>
  <c r="Z94" i="3"/>
  <c r="AA94" i="3"/>
  <c r="Z92" i="3"/>
  <c r="AA92" i="3"/>
  <c r="Z88" i="3"/>
  <c r="AA88" i="3"/>
  <c r="Z84" i="3"/>
  <c r="AA84" i="3"/>
  <c r="Z82" i="3"/>
  <c r="AA82" i="3"/>
  <c r="Z78" i="3"/>
  <c r="AA78" i="3"/>
  <c r="Z73" i="3"/>
  <c r="AA73" i="3"/>
  <c r="Z44" i="7"/>
  <c r="AA44" i="7"/>
  <c r="AE44" i="7" s="1"/>
  <c r="Z38" i="7"/>
  <c r="AA38" i="7"/>
  <c r="Z31" i="7"/>
  <c r="AA31" i="7"/>
  <c r="Z27" i="7"/>
  <c r="AA27" i="7"/>
  <c r="Z22" i="7"/>
  <c r="AA22" i="7"/>
  <c r="Z20" i="7"/>
  <c r="AA20" i="7"/>
  <c r="Z16" i="7"/>
  <c r="AA16" i="7"/>
  <c r="Z14" i="7"/>
  <c r="AA14" i="7"/>
  <c r="Z12" i="7"/>
  <c r="AA12" i="7"/>
  <c r="Z6" i="7"/>
  <c r="AA6" i="7"/>
  <c r="Z3" i="7"/>
  <c r="AA3" i="7"/>
  <c r="Z86" i="5"/>
  <c r="AA86" i="5"/>
  <c r="Z83" i="5"/>
  <c r="AA83" i="5"/>
  <c r="Z2" i="3"/>
  <c r="AA2" i="3"/>
  <c r="Z55" i="3"/>
  <c r="AA55" i="3"/>
  <c r="AE55" i="3" s="1"/>
  <c r="Z50" i="3"/>
  <c r="AA50" i="3"/>
  <c r="AE50" i="3" s="1"/>
  <c r="Z48" i="3"/>
  <c r="AA48" i="3"/>
  <c r="Z40" i="3"/>
  <c r="AA40" i="3"/>
  <c r="Z35" i="3"/>
  <c r="AA35" i="3"/>
  <c r="Z31" i="3"/>
  <c r="AA31" i="3"/>
  <c r="Z29" i="3"/>
  <c r="AA29" i="3"/>
  <c r="Z27" i="3"/>
  <c r="AA27" i="3"/>
  <c r="Z25" i="3"/>
  <c r="AA25" i="3"/>
  <c r="Z22" i="3"/>
  <c r="AA22" i="3"/>
  <c r="Z20" i="3"/>
  <c r="AA20" i="3"/>
  <c r="Z18" i="3"/>
  <c r="AA18" i="3"/>
  <c r="AE18" i="3" s="1"/>
  <c r="Z16" i="3"/>
  <c r="AA16" i="3"/>
  <c r="Z14" i="3"/>
  <c r="AA14" i="3"/>
  <c r="Z12" i="3"/>
  <c r="AA12" i="3"/>
  <c r="Z9" i="3"/>
  <c r="AA9" i="3"/>
  <c r="Z6" i="3"/>
  <c r="AA6" i="3"/>
  <c r="Z3" i="3"/>
  <c r="AA3" i="3"/>
  <c r="Z101" i="7"/>
  <c r="AA101" i="7"/>
  <c r="Z98" i="7"/>
  <c r="AA98" i="7"/>
  <c r="Z95" i="7"/>
  <c r="AA95" i="7"/>
  <c r="Z93" i="7"/>
  <c r="AA93" i="7"/>
  <c r="Z91" i="7"/>
  <c r="AA91" i="7"/>
  <c r="AA88" i="7"/>
  <c r="AA86" i="7"/>
  <c r="AA84" i="7"/>
  <c r="AA82" i="7"/>
  <c r="AA80" i="7"/>
  <c r="AA78" i="7"/>
  <c r="AA76" i="7"/>
  <c r="AA73" i="7"/>
  <c r="Z70" i="7"/>
  <c r="AA70" i="7"/>
  <c r="AE70" i="7" s="1"/>
  <c r="Z68" i="7"/>
  <c r="AA68" i="7"/>
  <c r="Z66" i="7"/>
  <c r="AA66" i="7"/>
  <c r="Z64" i="7"/>
  <c r="AA64" i="7"/>
  <c r="Z60" i="7"/>
  <c r="AA60" i="7"/>
  <c r="AE60" i="7" s="1"/>
  <c r="Z58" i="7"/>
  <c r="AA58" i="7"/>
  <c r="Z54" i="7"/>
  <c r="AA54" i="7"/>
  <c r="Z55" i="5"/>
  <c r="AA55" i="5"/>
  <c r="AE55" i="5" s="1"/>
  <c r="Z53" i="5"/>
  <c r="AA53" i="5"/>
  <c r="AE53" i="5" s="1"/>
  <c r="Z51" i="5"/>
  <c r="AA51" i="5"/>
  <c r="AE51" i="5" s="1"/>
  <c r="Z46" i="5"/>
  <c r="AA46" i="5"/>
  <c r="Z43" i="5"/>
  <c r="AA43" i="5"/>
  <c r="AE43" i="5" s="1"/>
  <c r="Z41" i="5"/>
  <c r="AA41" i="5"/>
  <c r="AE41" i="5" s="1"/>
  <c r="Z54" i="3"/>
  <c r="AA54" i="3"/>
  <c r="Z49" i="3"/>
  <c r="AA49" i="3"/>
  <c r="Z38" i="3"/>
  <c r="AA38" i="3"/>
  <c r="Z30" i="3"/>
  <c r="AA30" i="3"/>
  <c r="Z26" i="3"/>
  <c r="AA26" i="3"/>
  <c r="Z21" i="3"/>
  <c r="AA21" i="3"/>
  <c r="Z17" i="3"/>
  <c r="AA17" i="3"/>
  <c r="Z13" i="3"/>
  <c r="AA13" i="3"/>
  <c r="Z7" i="3"/>
  <c r="AA7" i="3"/>
  <c r="Z96" i="7"/>
  <c r="AA96" i="7"/>
  <c r="Z92" i="7"/>
  <c r="AA92" i="7"/>
  <c r="AA87" i="7"/>
  <c r="AA81" i="7"/>
  <c r="AA77" i="7"/>
  <c r="AA74" i="7"/>
  <c r="Z69" i="7"/>
  <c r="AA69" i="7"/>
  <c r="AE69" i="7" s="1"/>
  <c r="Z61" i="7"/>
  <c r="AA61" i="7"/>
  <c r="AE61" i="7" s="1"/>
  <c r="Z53" i="7"/>
  <c r="AA53" i="7"/>
  <c r="AE53" i="7" s="1"/>
  <c r="Z54" i="5"/>
  <c r="AA54" i="5"/>
  <c r="Z52" i="5"/>
  <c r="AA52" i="5"/>
  <c r="AE52" i="5" s="1"/>
  <c r="Z49" i="5"/>
  <c r="AA49" i="5"/>
  <c r="AE49" i="5" s="1"/>
  <c r="Z44" i="5"/>
  <c r="AA44" i="5"/>
  <c r="Z42" i="5"/>
  <c r="AA42" i="5"/>
  <c r="Z40" i="5"/>
  <c r="AA40" i="5"/>
  <c r="AE40" i="5" s="1"/>
  <c r="Z86" i="3"/>
  <c r="AA86" i="3"/>
  <c r="Z80" i="3"/>
  <c r="AA80" i="3"/>
  <c r="Z76" i="3"/>
  <c r="AA76" i="3"/>
  <c r="Z68" i="3"/>
  <c r="AA68" i="3"/>
  <c r="Z2" i="7"/>
  <c r="AA2" i="7"/>
  <c r="Z49" i="7"/>
  <c r="AA49" i="7"/>
  <c r="Z41" i="7"/>
  <c r="AA41" i="7"/>
  <c r="Z33" i="7"/>
  <c r="AA33" i="7"/>
  <c r="Z29" i="7"/>
  <c r="AA29" i="7"/>
  <c r="Z25" i="7"/>
  <c r="AA25" i="7"/>
  <c r="Z18" i="7"/>
  <c r="AA18" i="7"/>
  <c r="AE18" i="7" s="1"/>
  <c r="Z9" i="7"/>
  <c r="AA9" i="7"/>
  <c r="Z101" i="3"/>
  <c r="AA101" i="3"/>
  <c r="Z98" i="3"/>
  <c r="AA98" i="3"/>
  <c r="Z93" i="3"/>
  <c r="AA93" i="3"/>
  <c r="Z89" i="3"/>
  <c r="AA89" i="3"/>
  <c r="Z87" i="3"/>
  <c r="AA87" i="3"/>
  <c r="Z85" i="3"/>
  <c r="AA85" i="3"/>
  <c r="Z83" i="3"/>
  <c r="AA83" i="3"/>
  <c r="Z81" i="3"/>
  <c r="AA81" i="3"/>
  <c r="Z79" i="3"/>
  <c r="AA79" i="3"/>
  <c r="Z77" i="3"/>
  <c r="AA77" i="3"/>
  <c r="Z74" i="3"/>
  <c r="AA74" i="3"/>
  <c r="Z67" i="3"/>
  <c r="AA67" i="3"/>
  <c r="Z46" i="7"/>
  <c r="AA46" i="7"/>
  <c r="AE46" i="7" s="1"/>
  <c r="Z42" i="7"/>
  <c r="AA42" i="7"/>
  <c r="Z40" i="7"/>
  <c r="AA40" i="7"/>
  <c r="AE40" i="7" s="1"/>
  <c r="Z35" i="7"/>
  <c r="AA35" i="7"/>
  <c r="Z32" i="7"/>
  <c r="AA32" i="7"/>
  <c r="Z30" i="7"/>
  <c r="AA30" i="7"/>
  <c r="Z28" i="7"/>
  <c r="AA28" i="7"/>
  <c r="Z26" i="7"/>
  <c r="AA26" i="7"/>
  <c r="Z24" i="7"/>
  <c r="AA24" i="7"/>
  <c r="Z21" i="7"/>
  <c r="AA21" i="7"/>
  <c r="Z19" i="7"/>
  <c r="AA19" i="7"/>
  <c r="Z17" i="7"/>
  <c r="AA17" i="7"/>
  <c r="Z15" i="7"/>
  <c r="AA15" i="7"/>
  <c r="Z13" i="7"/>
  <c r="AA13" i="7"/>
  <c r="Z10" i="7"/>
  <c r="AA10" i="7"/>
  <c r="Z7" i="7"/>
  <c r="AA7" i="7"/>
  <c r="Z100" i="5"/>
  <c r="AA100" i="5"/>
  <c r="AE100" i="5" s="1"/>
  <c r="Z85" i="5"/>
  <c r="AA85" i="5"/>
  <c r="Y33" i="2"/>
  <c r="Z33" i="2"/>
  <c r="Y31" i="2"/>
  <c r="Z31" i="2"/>
  <c r="Y27" i="2"/>
  <c r="Z27" i="2"/>
  <c r="Y25" i="2"/>
  <c r="Z25" i="2"/>
  <c r="Y22" i="2"/>
  <c r="Z22" i="2"/>
  <c r="Y96" i="2"/>
  <c r="Z96" i="2"/>
  <c r="Y92" i="2"/>
  <c r="Z92" i="2"/>
  <c r="Y87" i="2"/>
  <c r="Z87" i="2"/>
  <c r="Y81" i="2"/>
  <c r="Z81" i="2"/>
  <c r="Y77" i="2"/>
  <c r="Z77" i="2"/>
  <c r="Y65" i="2"/>
  <c r="Z65" i="2"/>
  <c r="AD65" i="2" s="1"/>
  <c r="Y61" i="2"/>
  <c r="Z61" i="2"/>
  <c r="AD61" i="2" s="1"/>
  <c r="Y57" i="2"/>
  <c r="Z57" i="2"/>
  <c r="AD57" i="2" s="1"/>
  <c r="Y55" i="2"/>
  <c r="Z55" i="2"/>
  <c r="Y51" i="2"/>
  <c r="Z51" i="2"/>
  <c r="Y49" i="2"/>
  <c r="Z49" i="2"/>
  <c r="Y46" i="2"/>
  <c r="Z46" i="2"/>
  <c r="AD46" i="2" s="1"/>
  <c r="Y42" i="2"/>
  <c r="Z42" i="2"/>
  <c r="Y17" i="2"/>
  <c r="Z17" i="2"/>
  <c r="Y15" i="2"/>
  <c r="Z15" i="2"/>
  <c r="Y13" i="2"/>
  <c r="Z13" i="2"/>
  <c r="Y10" i="2"/>
  <c r="Z10" i="2"/>
  <c r="Y7" i="2"/>
  <c r="Z7" i="2"/>
  <c r="Y4" i="2"/>
  <c r="Z4" i="2"/>
  <c r="Y40" i="2"/>
  <c r="Z40" i="2"/>
  <c r="AD40" i="2" s="1"/>
  <c r="Y35" i="2"/>
  <c r="Z35" i="2"/>
  <c r="Y32" i="2"/>
  <c r="Z32" i="2"/>
  <c r="Y30" i="2"/>
  <c r="Z30" i="2"/>
  <c r="Y28" i="2"/>
  <c r="Z28" i="2"/>
  <c r="Y26" i="2"/>
  <c r="Z26" i="2"/>
  <c r="Y24" i="2"/>
  <c r="Z24" i="2"/>
  <c r="Y21" i="2"/>
  <c r="Z21" i="2"/>
  <c r="Y19" i="2"/>
  <c r="Z19" i="2"/>
  <c r="Y101" i="2"/>
  <c r="Z101" i="2"/>
  <c r="Y98" i="2"/>
  <c r="Z98" i="2"/>
  <c r="Y95" i="2"/>
  <c r="Z95" i="2"/>
  <c r="Y93" i="2"/>
  <c r="Z93" i="2"/>
  <c r="Y91" i="2"/>
  <c r="Z91" i="2"/>
  <c r="Y88" i="2"/>
  <c r="Z88" i="2"/>
  <c r="Y86" i="2"/>
  <c r="Z86" i="2"/>
  <c r="Y84" i="2"/>
  <c r="Z84" i="2"/>
  <c r="Y82" i="2"/>
  <c r="Z82" i="2"/>
  <c r="Y80" i="2"/>
  <c r="Z80" i="2"/>
  <c r="Y78" i="2"/>
  <c r="Z78" i="2"/>
  <c r="Y76" i="2"/>
  <c r="Z76" i="2"/>
  <c r="AD76" i="2" s="1"/>
  <c r="Y73" i="2"/>
  <c r="Z73" i="2"/>
  <c r="Y70" i="2"/>
  <c r="Z70" i="2"/>
  <c r="AD70" i="2" s="1"/>
  <c r="Y68" i="2"/>
  <c r="Z68" i="2"/>
  <c r="Y64" i="2"/>
  <c r="Z64" i="2"/>
  <c r="Y60" i="2"/>
  <c r="Z60" i="2"/>
  <c r="AD60" i="2" s="1"/>
  <c r="Y58" i="2"/>
  <c r="Z58" i="2"/>
  <c r="Y54" i="2"/>
  <c r="Z54" i="2"/>
  <c r="Y52" i="2"/>
  <c r="Z52" i="2"/>
  <c r="Y50" i="2"/>
  <c r="Z50" i="2"/>
  <c r="AD50" i="2" s="1"/>
  <c r="Y48" i="2"/>
  <c r="Z48" i="2"/>
  <c r="AD48" i="2" s="1"/>
  <c r="Y45" i="2"/>
  <c r="Z45" i="2"/>
  <c r="Y43" i="2"/>
  <c r="Z43" i="2"/>
  <c r="AD43" i="2" s="1"/>
  <c r="Y18" i="2"/>
  <c r="Z18" i="2"/>
  <c r="AD18" i="2" s="1"/>
  <c r="Y16" i="2"/>
  <c r="Z16" i="2"/>
  <c r="Y14" i="2"/>
  <c r="Z14" i="2"/>
  <c r="Y12" i="2"/>
  <c r="Z12" i="2"/>
  <c r="Y9" i="2"/>
  <c r="Z9" i="2"/>
  <c r="Y6" i="2"/>
  <c r="Z6" i="2"/>
  <c r="Y3" i="2"/>
  <c r="Z3" i="2"/>
  <c r="Y2" i="2"/>
  <c r="Z2" i="2"/>
  <c r="Y38" i="2"/>
  <c r="Z38" i="2"/>
  <c r="Y29" i="2"/>
  <c r="Z29" i="2"/>
  <c r="Y20" i="2"/>
  <c r="Z20" i="2"/>
  <c r="Y100" i="2"/>
  <c r="Z100" i="2"/>
  <c r="Y94" i="2"/>
  <c r="Z94" i="2"/>
  <c r="Y89" i="2"/>
  <c r="Z89" i="2"/>
  <c r="Y85" i="2"/>
  <c r="Z85" i="2"/>
  <c r="Y74" i="2"/>
  <c r="Z74" i="2"/>
  <c r="Y71" i="2"/>
  <c r="Z71" i="2"/>
  <c r="Y67" i="2"/>
  <c r="Z67" i="2"/>
  <c r="Y59" i="2"/>
  <c r="Z59" i="2"/>
  <c r="AD59" i="2" s="1"/>
  <c r="Y53" i="2"/>
  <c r="Z53" i="2"/>
  <c r="AD53" i="2" s="1"/>
  <c r="Y44" i="2"/>
  <c r="Z44" i="2"/>
  <c r="AD44" i="2" s="1"/>
  <c r="Z81" i="1"/>
  <c r="AA81" i="1"/>
  <c r="Z71" i="1"/>
  <c r="AA71" i="1"/>
  <c r="Z68" i="1"/>
  <c r="AA68" i="1"/>
  <c r="Z64" i="1"/>
  <c r="AA64" i="1"/>
  <c r="Z54" i="1"/>
  <c r="AA54" i="1"/>
  <c r="Z41" i="1"/>
  <c r="AA41" i="1"/>
  <c r="AE41" i="1" s="1"/>
  <c r="Z100" i="1"/>
  <c r="AA100" i="1"/>
  <c r="Z94" i="1"/>
  <c r="AA94" i="1"/>
  <c r="Z82" i="1"/>
  <c r="AA82" i="1"/>
  <c r="Z42" i="1"/>
  <c r="AA42" i="1"/>
  <c r="Z38" i="1"/>
  <c r="AA38" i="1"/>
  <c r="Z31" i="1"/>
  <c r="AA31" i="1"/>
  <c r="Z27" i="1"/>
  <c r="AA27" i="1"/>
  <c r="Z22" i="1"/>
  <c r="AA22" i="1"/>
  <c r="Z19" i="1"/>
  <c r="AA19" i="1"/>
  <c r="Z101" i="1"/>
  <c r="AA101" i="1"/>
  <c r="Z95" i="1"/>
  <c r="AA95" i="1"/>
  <c r="Z91" i="1"/>
  <c r="AA91" i="1"/>
  <c r="Z87" i="1"/>
  <c r="AA87" i="1"/>
  <c r="Z83" i="1"/>
  <c r="AA83" i="1"/>
  <c r="Z79" i="1"/>
  <c r="AA79" i="1"/>
  <c r="Z50" i="1"/>
  <c r="AA50" i="1"/>
  <c r="AE50" i="1" s="1"/>
  <c r="Z32" i="1"/>
  <c r="AA32" i="1"/>
  <c r="Z28" i="1"/>
  <c r="AA28" i="1"/>
  <c r="Z24" i="1"/>
  <c r="AA24" i="1"/>
  <c r="Z20" i="1"/>
  <c r="AA20" i="1"/>
  <c r="Z84" i="1"/>
  <c r="AA84" i="1"/>
  <c r="Z80" i="1"/>
  <c r="AA80" i="1"/>
  <c r="Z70" i="1"/>
  <c r="AA70" i="1"/>
  <c r="AE70" i="1" s="1"/>
  <c r="Z67" i="1"/>
  <c r="AA67" i="1"/>
  <c r="Z58" i="1"/>
  <c r="AA58" i="1"/>
  <c r="Z46" i="1"/>
  <c r="AA46" i="1"/>
  <c r="AE46" i="1" s="1"/>
  <c r="Z33" i="1"/>
  <c r="AA33" i="1"/>
  <c r="W59" i="1"/>
  <c r="V86" i="36"/>
  <c r="W31" i="36"/>
  <c r="V100" i="36"/>
  <c r="Z96" i="1"/>
  <c r="Z92" i="1"/>
  <c r="W88" i="1"/>
  <c r="AA88" i="1" s="1"/>
  <c r="W48" i="1"/>
  <c r="AA48" i="1" s="1"/>
  <c r="Y83" i="2"/>
  <c r="W83" i="36"/>
  <c r="Y79" i="2"/>
  <c r="X50" i="7"/>
  <c r="V76" i="36"/>
  <c r="W74" i="1"/>
  <c r="AA74" i="1" s="1"/>
  <c r="Z69" i="1"/>
  <c r="W69" i="36"/>
  <c r="W60" i="1"/>
  <c r="AA60" i="1" s="1"/>
  <c r="AE60" i="1" s="1"/>
  <c r="X57" i="1"/>
  <c r="X51" i="1"/>
  <c r="W35" i="1"/>
  <c r="AA35" i="1" s="1"/>
  <c r="W30" i="1"/>
  <c r="AA30" i="1" s="1"/>
  <c r="V30" i="36"/>
  <c r="W26" i="1"/>
  <c r="AA26" i="1" s="1"/>
  <c r="Z21" i="1"/>
  <c r="W14" i="1"/>
  <c r="Z95" i="3"/>
  <c r="Z91" i="3"/>
  <c r="Z71" i="3"/>
  <c r="Z86" i="1"/>
  <c r="W86" i="36"/>
  <c r="Z78" i="1"/>
  <c r="Z73" i="1"/>
  <c r="X69" i="1"/>
  <c r="W56" i="1"/>
  <c r="AA56" i="1" s="1"/>
  <c r="AE56" i="1" s="1"/>
  <c r="V72" i="1"/>
  <c r="X72" i="1" s="1"/>
  <c r="Z40" i="1"/>
  <c r="W40" i="36"/>
  <c r="W29" i="1"/>
  <c r="AA29" i="1" s="1"/>
  <c r="W25" i="1"/>
  <c r="AA25" i="1" s="1"/>
  <c r="W17" i="1"/>
  <c r="W61" i="2"/>
  <c r="W59" i="2"/>
  <c r="W98" i="1"/>
  <c r="AA98" i="1" s="1"/>
  <c r="W93" i="1"/>
  <c r="AA93" i="1" s="1"/>
  <c r="Z89" i="1"/>
  <c r="W85" i="1"/>
  <c r="AA85" i="1" s="1"/>
  <c r="V85" i="36"/>
  <c r="W77" i="1"/>
  <c r="AA77" i="1" s="1"/>
  <c r="V49" i="36"/>
  <c r="W49" i="1"/>
  <c r="AA49" i="1" s="1"/>
  <c r="W43" i="1"/>
  <c r="AA43" i="1" s="1"/>
  <c r="V40" i="36"/>
  <c r="W12" i="1"/>
  <c r="Y66" i="2"/>
  <c r="Y56" i="2"/>
  <c r="V72" i="2"/>
  <c r="Y72" i="2" s="1"/>
  <c r="V31" i="36"/>
  <c r="W27" i="36"/>
  <c r="Z56" i="7"/>
  <c r="W72" i="7"/>
  <c r="Z72" i="7" s="1"/>
  <c r="Z52" i="7"/>
  <c r="W76" i="1"/>
  <c r="AA76" i="1" s="1"/>
  <c r="AE76" i="1" s="1"/>
  <c r="W56" i="2"/>
  <c r="U72" i="2"/>
  <c r="W72" i="2" s="1"/>
  <c r="V72" i="7"/>
  <c r="V83" i="36"/>
  <c r="W54" i="36"/>
  <c r="W42" i="36"/>
  <c r="W7" i="36"/>
  <c r="V68" i="36"/>
  <c r="W100" i="36"/>
  <c r="W68" i="36"/>
  <c r="V54" i="36"/>
  <c r="V42" i="36"/>
  <c r="V7" i="36"/>
  <c r="X52" i="7"/>
  <c r="X41" i="5"/>
  <c r="X56" i="7"/>
  <c r="W107" i="3"/>
  <c r="V107" i="3"/>
  <c r="X61" i="1"/>
  <c r="W57" i="1"/>
  <c r="AA57" i="1" s="1"/>
  <c r="AE57" i="1" s="1"/>
  <c r="W51" i="1"/>
  <c r="AA51" i="1" s="1"/>
  <c r="W2" i="1"/>
  <c r="Z2" i="1" s="1"/>
  <c r="X70" i="1"/>
  <c r="X66" i="1"/>
  <c r="X60" i="1"/>
  <c r="X56" i="1"/>
  <c r="W15" i="1"/>
  <c r="W10" i="1"/>
  <c r="W4" i="1"/>
  <c r="Z4" i="1" s="1"/>
  <c r="X65" i="1"/>
  <c r="X46" i="1"/>
  <c r="V107" i="1"/>
  <c r="X50" i="1"/>
  <c r="X41" i="1"/>
  <c r="X18" i="1"/>
  <c r="G173" i="35"/>
  <c r="I173" i="35"/>
  <c r="H113" i="35"/>
  <c r="H114" i="35"/>
  <c r="H116" i="35"/>
  <c r="H117" i="35"/>
  <c r="H118" i="35"/>
  <c r="H119" i="35"/>
  <c r="H120" i="35"/>
  <c r="H121" i="35"/>
  <c r="H122" i="35"/>
  <c r="H123" i="35"/>
  <c r="H124" i="35"/>
  <c r="H125" i="35"/>
  <c r="H127" i="35"/>
  <c r="H128" i="35"/>
  <c r="H129" i="35"/>
  <c r="H130" i="35"/>
  <c r="H131" i="35"/>
  <c r="H132" i="35"/>
  <c r="H133" i="35"/>
  <c r="H134" i="35"/>
  <c r="H135" i="35"/>
  <c r="H136" i="35"/>
  <c r="H137" i="35"/>
  <c r="H138" i="35"/>
  <c r="H139" i="35"/>
  <c r="H141" i="35"/>
  <c r="H142" i="35"/>
  <c r="H145" i="35"/>
  <c r="H146" i="35"/>
  <c r="H147" i="35"/>
  <c r="H156" i="35"/>
  <c r="H157" i="35"/>
  <c r="H158" i="35"/>
  <c r="H159" i="35"/>
  <c r="H112" i="35"/>
  <c r="I67" i="35"/>
  <c r="H59" i="35"/>
  <c r="H60" i="35"/>
  <c r="H61" i="35"/>
  <c r="H62" i="35"/>
  <c r="H63" i="35"/>
  <c r="I48" i="35"/>
  <c r="H29" i="35"/>
  <c r="H30" i="35"/>
  <c r="H31" i="35"/>
  <c r="H32" i="35"/>
  <c r="H33" i="35"/>
  <c r="H28" i="35"/>
  <c r="U81" i="5"/>
  <c r="W81" i="5" s="1"/>
  <c r="Z81" i="5" s="1"/>
  <c r="AA10" i="36" l="1"/>
  <c r="AA12" i="36"/>
  <c r="AF12" i="36" s="1"/>
  <c r="AA16" i="36"/>
  <c r="AF16" i="36" s="1"/>
  <c r="AA17" i="36"/>
  <c r="AA7" i="36"/>
  <c r="AA107" i="3"/>
  <c r="AJ55" i="2"/>
  <c r="AI55" i="36" s="1"/>
  <c r="AD55" i="2"/>
  <c r="AJ52" i="2"/>
  <c r="AD52" i="2"/>
  <c r="AE51" i="1"/>
  <c r="AE51" i="36" s="1"/>
  <c r="AE66" i="7"/>
  <c r="AE66" i="36" s="1"/>
  <c r="AE22" i="3"/>
  <c r="AE22" i="36" s="1"/>
  <c r="AE76" i="36"/>
  <c r="AA49" i="36"/>
  <c r="AF49" i="36" s="1"/>
  <c r="AA29" i="36"/>
  <c r="AA83" i="36"/>
  <c r="AF83" i="36" s="1"/>
  <c r="AA31" i="36"/>
  <c r="AA42" i="36"/>
  <c r="AE50" i="36"/>
  <c r="AE61" i="36"/>
  <c r="AA6" i="36"/>
  <c r="AF6" i="36" s="1"/>
  <c r="AE70" i="36"/>
  <c r="AE40" i="36"/>
  <c r="AA72" i="7"/>
  <c r="AE72" i="7" s="1"/>
  <c r="Z72" i="2"/>
  <c r="AD72" i="2" s="1"/>
  <c r="AD106" i="2" s="1"/>
  <c r="AA69" i="36"/>
  <c r="AF69" i="36" s="1"/>
  <c r="AE69" i="36"/>
  <c r="AA25" i="36"/>
  <c r="AA30" i="36"/>
  <c r="AF30" i="36" s="1"/>
  <c r="AA40" i="36"/>
  <c r="AF40" i="36" s="1"/>
  <c r="AA35" i="36"/>
  <c r="AF35" i="36" s="1"/>
  <c r="AA87" i="36"/>
  <c r="AF87" i="36" s="1"/>
  <c r="AA82" i="36"/>
  <c r="AF82" i="36" s="1"/>
  <c r="AA54" i="36"/>
  <c r="AA68" i="36"/>
  <c r="AF68" i="36" s="1"/>
  <c r="AA106" i="7"/>
  <c r="AA13" i="36"/>
  <c r="AF13" i="36" s="1"/>
  <c r="AA26" i="36"/>
  <c r="AA2" i="36"/>
  <c r="AA3" i="36"/>
  <c r="AF3" i="36" s="1"/>
  <c r="AA9" i="36"/>
  <c r="AF9" i="36" s="1"/>
  <c r="AA14" i="36"/>
  <c r="AF14" i="36" s="1"/>
  <c r="AA18" i="36"/>
  <c r="AF18" i="36" s="1"/>
  <c r="AA86" i="36"/>
  <c r="AA21" i="36"/>
  <c r="AA4" i="36"/>
  <c r="AF4" i="36" s="1"/>
  <c r="AA15" i="36"/>
  <c r="AF15" i="36" s="1"/>
  <c r="AA51" i="36"/>
  <c r="AF51" i="36" s="1"/>
  <c r="AA33" i="36"/>
  <c r="AF33" i="36" s="1"/>
  <c r="AA24" i="36"/>
  <c r="AF24" i="36" s="1"/>
  <c r="AA19" i="36"/>
  <c r="AF19" i="36" s="1"/>
  <c r="AA27" i="36"/>
  <c r="AF27" i="36" s="1"/>
  <c r="AA81" i="36"/>
  <c r="AF81" i="36" s="1"/>
  <c r="U106" i="2"/>
  <c r="AA76" i="36"/>
  <c r="AF76" i="36" s="1"/>
  <c r="AA85" i="36"/>
  <c r="AA20" i="36"/>
  <c r="AA28" i="36"/>
  <c r="AA22" i="36"/>
  <c r="AF22" i="36" s="1"/>
  <c r="AA100" i="36"/>
  <c r="AF100" i="36" s="1"/>
  <c r="Z59" i="1"/>
  <c r="AA59" i="1"/>
  <c r="AE59" i="1" s="1"/>
  <c r="AA107" i="1"/>
  <c r="W107" i="1"/>
  <c r="AA38" i="36"/>
  <c r="Z57" i="1"/>
  <c r="Z29" i="1"/>
  <c r="Z26" i="1"/>
  <c r="Z35" i="1"/>
  <c r="Z48" i="1"/>
  <c r="V106" i="1"/>
  <c r="Z76" i="1"/>
  <c r="W76" i="36"/>
  <c r="Z43" i="1"/>
  <c r="Z77" i="1"/>
  <c r="Z98" i="1"/>
  <c r="Z56" i="1"/>
  <c r="W72" i="1"/>
  <c r="W106" i="1" s="1"/>
  <c r="Z10" i="1"/>
  <c r="Z51" i="1"/>
  <c r="W51" i="36"/>
  <c r="Z12" i="1"/>
  <c r="Z49" i="1"/>
  <c r="W49" i="36"/>
  <c r="Z25" i="1"/>
  <c r="Z30" i="1"/>
  <c r="W30" i="36"/>
  <c r="Z60" i="1"/>
  <c r="Z88" i="1"/>
  <c r="Z15" i="1"/>
  <c r="V106" i="2"/>
  <c r="Z85" i="1"/>
  <c r="W85" i="36"/>
  <c r="Z93" i="1"/>
  <c r="Z17" i="1"/>
  <c r="Z14" i="1"/>
  <c r="Z74" i="1"/>
  <c r="I175" i="35"/>
  <c r="H48" i="35"/>
  <c r="W81" i="36"/>
  <c r="V81" i="5"/>
  <c r="U66" i="3"/>
  <c r="V66" i="3" s="1"/>
  <c r="U44" i="3"/>
  <c r="U43" i="3"/>
  <c r="U39" i="3"/>
  <c r="AE106" i="7" l="1"/>
  <c r="AI52" i="36"/>
  <c r="AK52" i="2"/>
  <c r="AK52" i="36" s="1"/>
  <c r="AE18" i="36"/>
  <c r="Z106" i="2"/>
  <c r="AA72" i="1"/>
  <c r="AE72" i="1" s="1"/>
  <c r="AE106" i="1" s="1"/>
  <c r="V39" i="3"/>
  <c r="W39" i="3"/>
  <c r="AA39" i="3" s="1"/>
  <c r="AE39" i="3" s="1"/>
  <c r="X66" i="3"/>
  <c r="V43" i="3"/>
  <c r="W43" i="3"/>
  <c r="AA43" i="3" s="1"/>
  <c r="AE43" i="3" s="1"/>
  <c r="Z72" i="1"/>
  <c r="V44" i="3"/>
  <c r="W44" i="3"/>
  <c r="V90" i="2"/>
  <c r="X81" i="5"/>
  <c r="V81" i="36"/>
  <c r="K67" i="35"/>
  <c r="L67" i="35"/>
  <c r="M67" i="35"/>
  <c r="O67" i="35"/>
  <c r="P59" i="35"/>
  <c r="P129" i="35"/>
  <c r="P173" i="35" s="1"/>
  <c r="S109" i="36"/>
  <c r="T109" i="36"/>
  <c r="U109" i="36"/>
  <c r="S3" i="36"/>
  <c r="T3" i="36"/>
  <c r="S4" i="36"/>
  <c r="T4" i="36"/>
  <c r="S6" i="36"/>
  <c r="T6" i="36"/>
  <c r="S7" i="36"/>
  <c r="T7" i="36"/>
  <c r="S9" i="36"/>
  <c r="T9" i="36"/>
  <c r="S10" i="36"/>
  <c r="T10" i="36"/>
  <c r="S12" i="36"/>
  <c r="T12" i="36"/>
  <c r="S13" i="36"/>
  <c r="T13" i="36"/>
  <c r="S14" i="36"/>
  <c r="T14" i="36"/>
  <c r="S15" i="36"/>
  <c r="T15" i="36"/>
  <c r="S16" i="36"/>
  <c r="T16" i="36"/>
  <c r="S17" i="36"/>
  <c r="T17" i="36"/>
  <c r="S18" i="36"/>
  <c r="T18" i="36"/>
  <c r="S19" i="36"/>
  <c r="T19" i="36"/>
  <c r="S20" i="36"/>
  <c r="T20" i="36"/>
  <c r="S21" i="36"/>
  <c r="T21" i="36"/>
  <c r="S22" i="36"/>
  <c r="T22" i="36"/>
  <c r="S24" i="36"/>
  <c r="T24" i="36"/>
  <c r="S25" i="36"/>
  <c r="T25" i="36"/>
  <c r="S26" i="36"/>
  <c r="T26" i="36"/>
  <c r="S27" i="36"/>
  <c r="T27" i="36"/>
  <c r="S28" i="36"/>
  <c r="T28" i="36"/>
  <c r="S29" i="36"/>
  <c r="T29" i="36"/>
  <c r="S30" i="36"/>
  <c r="T30" i="36"/>
  <c r="X30" i="36" s="1"/>
  <c r="U30" i="36"/>
  <c r="S31" i="36"/>
  <c r="T31" i="36"/>
  <c r="U31" i="36"/>
  <c r="S32" i="36"/>
  <c r="T32" i="36"/>
  <c r="S33" i="36"/>
  <c r="T33" i="36"/>
  <c r="S35" i="36"/>
  <c r="T35" i="36"/>
  <c r="S37" i="36"/>
  <c r="T37" i="36"/>
  <c r="S38" i="36"/>
  <c r="T38" i="36"/>
  <c r="S39" i="36"/>
  <c r="T39" i="36"/>
  <c r="S40" i="36"/>
  <c r="T40" i="36"/>
  <c r="X40" i="36" s="1"/>
  <c r="U40" i="36"/>
  <c r="S41" i="36"/>
  <c r="T41" i="36"/>
  <c r="S42" i="36"/>
  <c r="T42" i="36"/>
  <c r="U42" i="36"/>
  <c r="S43" i="36"/>
  <c r="T43" i="36"/>
  <c r="S44" i="36"/>
  <c r="T44" i="36"/>
  <c r="S45" i="36"/>
  <c r="T45" i="36"/>
  <c r="S46" i="36"/>
  <c r="T46" i="36"/>
  <c r="S48" i="36"/>
  <c r="T48" i="36"/>
  <c r="S49" i="36"/>
  <c r="T49" i="36"/>
  <c r="X49" i="36" s="1"/>
  <c r="U49" i="36"/>
  <c r="S50" i="36"/>
  <c r="T50" i="36"/>
  <c r="S51" i="36"/>
  <c r="T51" i="36"/>
  <c r="T52" i="36"/>
  <c r="S54" i="36"/>
  <c r="T54" i="36"/>
  <c r="U54" i="36"/>
  <c r="S55" i="36"/>
  <c r="T55" i="36"/>
  <c r="S56" i="36"/>
  <c r="T56" i="36"/>
  <c r="S57" i="36"/>
  <c r="T57" i="36"/>
  <c r="S58" i="36"/>
  <c r="T58" i="36"/>
  <c r="S59" i="36"/>
  <c r="T59" i="36"/>
  <c r="S60" i="36"/>
  <c r="T60" i="36"/>
  <c r="S61" i="36"/>
  <c r="T61" i="36"/>
  <c r="S64" i="36"/>
  <c r="T64" i="36"/>
  <c r="S65" i="36"/>
  <c r="T65" i="36"/>
  <c r="S66" i="36"/>
  <c r="T66" i="36"/>
  <c r="S67" i="36"/>
  <c r="T67" i="36"/>
  <c r="S68" i="36"/>
  <c r="T68" i="36"/>
  <c r="X68" i="36" s="1"/>
  <c r="S69" i="36"/>
  <c r="T69" i="36"/>
  <c r="S70" i="36"/>
  <c r="T70" i="36"/>
  <c r="S71" i="36"/>
  <c r="T71" i="36"/>
  <c r="S72" i="36"/>
  <c r="T72" i="36"/>
  <c r="S73" i="36"/>
  <c r="T73" i="36"/>
  <c r="S74" i="36"/>
  <c r="T74" i="36"/>
  <c r="T76" i="36"/>
  <c r="X76" i="36" s="1"/>
  <c r="U76" i="36"/>
  <c r="S77" i="36"/>
  <c r="T77" i="36"/>
  <c r="S78" i="36"/>
  <c r="T78" i="36"/>
  <c r="S79" i="36"/>
  <c r="T79" i="36"/>
  <c r="S80" i="36"/>
  <c r="T80" i="36"/>
  <c r="S81" i="36"/>
  <c r="T81" i="36"/>
  <c r="U81" i="36"/>
  <c r="S82" i="36"/>
  <c r="T82" i="36"/>
  <c r="S83" i="36"/>
  <c r="T83" i="36"/>
  <c r="X83" i="36" s="1"/>
  <c r="U83" i="36"/>
  <c r="S84" i="36"/>
  <c r="T84" i="36"/>
  <c r="S85" i="36"/>
  <c r="T85" i="36"/>
  <c r="U85" i="36"/>
  <c r="S86" i="36"/>
  <c r="T86" i="36"/>
  <c r="U86" i="36"/>
  <c r="S87" i="36"/>
  <c r="T87" i="36"/>
  <c r="S88" i="36"/>
  <c r="T88" i="36"/>
  <c r="S89" i="36"/>
  <c r="T89" i="36"/>
  <c r="S90" i="36"/>
  <c r="T90" i="36"/>
  <c r="S91" i="36"/>
  <c r="T91" i="36"/>
  <c r="S92" i="36"/>
  <c r="T92" i="36"/>
  <c r="S93" i="36"/>
  <c r="T93" i="36"/>
  <c r="S94" i="36"/>
  <c r="T94" i="36"/>
  <c r="S95" i="36"/>
  <c r="T95" i="36"/>
  <c r="S96" i="36"/>
  <c r="T96" i="36"/>
  <c r="S98" i="36"/>
  <c r="T98" i="36"/>
  <c r="S100" i="36"/>
  <c r="T100" i="36"/>
  <c r="X100" i="36" s="1"/>
  <c r="U100" i="36"/>
  <c r="S101" i="36"/>
  <c r="T101" i="36"/>
  <c r="T2" i="36"/>
  <c r="S2" i="36"/>
  <c r="U61" i="5"/>
  <c r="U59" i="5"/>
  <c r="P18" i="33"/>
  <c r="Q18" i="33" s="1"/>
  <c r="P15" i="33"/>
  <c r="Q15" i="33" s="1"/>
  <c r="P13" i="33"/>
  <c r="Q13" i="33" s="1"/>
  <c r="P12" i="33"/>
  <c r="Q12" i="33" s="1"/>
  <c r="P11" i="33"/>
  <c r="Q11" i="33" s="1"/>
  <c r="P10" i="33"/>
  <c r="Q10" i="33" s="1"/>
  <c r="P48" i="35"/>
  <c r="O173" i="35"/>
  <c r="U65" i="5"/>
  <c r="U66" i="5"/>
  <c r="U66" i="36" s="1"/>
  <c r="U67" i="5"/>
  <c r="U67" i="36" s="1"/>
  <c r="U70" i="5"/>
  <c r="U71" i="5"/>
  <c r="U71" i="36" s="1"/>
  <c r="U73" i="5"/>
  <c r="U73" i="36" s="1"/>
  <c r="U74" i="5"/>
  <c r="U77" i="5"/>
  <c r="U78" i="5"/>
  <c r="U78" i="36" s="1"/>
  <c r="U79" i="5"/>
  <c r="U80" i="5"/>
  <c r="U84" i="5"/>
  <c r="U88" i="5"/>
  <c r="U88" i="36" s="1"/>
  <c r="U89" i="5"/>
  <c r="U89" i="36" s="1"/>
  <c r="U91" i="5"/>
  <c r="U91" i="36" s="1"/>
  <c r="U92" i="5"/>
  <c r="U93" i="5"/>
  <c r="U93" i="36" s="1"/>
  <c r="U94" i="5"/>
  <c r="U95" i="5"/>
  <c r="U95" i="36" s="1"/>
  <c r="U96" i="5"/>
  <c r="U96" i="36" s="1"/>
  <c r="U98" i="5"/>
  <c r="U98" i="36" s="1"/>
  <c r="U64" i="5"/>
  <c r="U57" i="5"/>
  <c r="U58" i="5"/>
  <c r="U60" i="5"/>
  <c r="U7" i="5"/>
  <c r="U9" i="5"/>
  <c r="U10" i="5"/>
  <c r="U12" i="5"/>
  <c r="U12" i="36" s="1"/>
  <c r="U13" i="5"/>
  <c r="U14" i="5"/>
  <c r="U15" i="5"/>
  <c r="U16" i="5"/>
  <c r="U16" i="36" s="1"/>
  <c r="U17" i="5"/>
  <c r="U18" i="5"/>
  <c r="U19" i="5"/>
  <c r="U20" i="36"/>
  <c r="U21" i="5"/>
  <c r="U24" i="5"/>
  <c r="U25" i="5"/>
  <c r="U25" i="36" s="1"/>
  <c r="U26" i="5"/>
  <c r="U27" i="5"/>
  <c r="V27" i="5" s="1"/>
  <c r="V27" i="36" s="1"/>
  <c r="U28" i="5"/>
  <c r="U29" i="5"/>
  <c r="U29" i="36" s="1"/>
  <c r="U32" i="5"/>
  <c r="U33" i="36"/>
  <c r="U35" i="5"/>
  <c r="U35" i="36" s="1"/>
  <c r="U37" i="5"/>
  <c r="U38" i="5"/>
  <c r="U38" i="36" s="1"/>
  <c r="U39" i="5"/>
  <c r="U50" i="5"/>
  <c r="U50" i="36" s="1"/>
  <c r="U45" i="5"/>
  <c r="U48" i="5"/>
  <c r="O97" i="35"/>
  <c r="O85" i="35"/>
  <c r="O106" i="35"/>
  <c r="S103" i="5"/>
  <c r="T103" i="5"/>
  <c r="T104" i="5"/>
  <c r="T105" i="5"/>
  <c r="T106" i="5"/>
  <c r="S107" i="5"/>
  <c r="T107" i="5"/>
  <c r="S76" i="5"/>
  <c r="S104" i="5" s="1"/>
  <c r="U39" i="7"/>
  <c r="U48" i="7"/>
  <c r="U45" i="7"/>
  <c r="U51" i="7"/>
  <c r="V51" i="7" s="1"/>
  <c r="U43" i="7"/>
  <c r="U45" i="1"/>
  <c r="V45" i="1" s="1"/>
  <c r="U55" i="1"/>
  <c r="V55" i="1" s="1"/>
  <c r="U53" i="1"/>
  <c r="V53" i="1" s="1"/>
  <c r="U44" i="1"/>
  <c r="V44" i="1" s="1"/>
  <c r="U39" i="1"/>
  <c r="V39" i="1" s="1"/>
  <c r="AA106" i="1" l="1"/>
  <c r="U51" i="36"/>
  <c r="Z44" i="3"/>
  <c r="AA44" i="3"/>
  <c r="AE44" i="3" s="1"/>
  <c r="U53" i="36"/>
  <c r="Y90" i="2"/>
  <c r="Z90" i="2"/>
  <c r="AD90" i="2" s="1"/>
  <c r="AD107" i="2" s="1"/>
  <c r="X27" i="36"/>
  <c r="W39" i="1"/>
  <c r="AA39" i="1" s="1"/>
  <c r="AE39" i="1" s="1"/>
  <c r="X39" i="1"/>
  <c r="U52" i="1"/>
  <c r="V52" i="1" s="1"/>
  <c r="V105" i="1" s="1"/>
  <c r="W45" i="7"/>
  <c r="V45" i="7"/>
  <c r="X45" i="7" s="1"/>
  <c r="S106" i="5"/>
  <c r="V48" i="5"/>
  <c r="X48" i="5" s="1"/>
  <c r="W48" i="5"/>
  <c r="W44" i="1"/>
  <c r="AA44" i="1" s="1"/>
  <c r="AE44" i="1" s="1"/>
  <c r="V44" i="36"/>
  <c r="X44" i="36" s="1"/>
  <c r="X44" i="1"/>
  <c r="W45" i="1"/>
  <c r="AA45" i="1" s="1"/>
  <c r="AE45" i="1" s="1"/>
  <c r="X45" i="1"/>
  <c r="W48" i="7"/>
  <c r="AA48" i="7" s="1"/>
  <c r="V48" i="7"/>
  <c r="V45" i="5"/>
  <c r="X45" i="5" s="1"/>
  <c r="W45" i="5"/>
  <c r="W53" i="1"/>
  <c r="AA53" i="1" s="1"/>
  <c r="AE53" i="1" s="1"/>
  <c r="V53" i="36"/>
  <c r="X53" i="1"/>
  <c r="W43" i="7"/>
  <c r="V43" i="7"/>
  <c r="X43" i="7" s="1"/>
  <c r="W39" i="7"/>
  <c r="AA39" i="7" s="1"/>
  <c r="AE39" i="7" s="1"/>
  <c r="V39" i="7"/>
  <c r="V50" i="5"/>
  <c r="W50" i="5"/>
  <c r="AA50" i="5" s="1"/>
  <c r="AE50" i="5" s="1"/>
  <c r="X81" i="36"/>
  <c r="S76" i="36"/>
  <c r="U48" i="36"/>
  <c r="U43" i="36"/>
  <c r="U105" i="7"/>
  <c r="Z43" i="3"/>
  <c r="Z39" i="3"/>
  <c r="W55" i="1"/>
  <c r="AA55" i="1" s="1"/>
  <c r="AE55" i="1" s="1"/>
  <c r="V55" i="36"/>
  <c r="X55" i="36" s="1"/>
  <c r="X55" i="1"/>
  <c r="X51" i="7"/>
  <c r="V51" i="36"/>
  <c r="X51" i="36" s="1"/>
  <c r="V39" i="5"/>
  <c r="W39" i="5"/>
  <c r="AA39" i="5" s="1"/>
  <c r="AE39" i="5" s="1"/>
  <c r="U55" i="36"/>
  <c r="U44" i="36"/>
  <c r="V107" i="2"/>
  <c r="S105" i="5"/>
  <c r="V28" i="5"/>
  <c r="V28" i="36" s="1"/>
  <c r="W28" i="5"/>
  <c r="V19" i="5"/>
  <c r="W19" i="5"/>
  <c r="V10" i="5"/>
  <c r="V10" i="36" s="1"/>
  <c r="W10" i="5"/>
  <c r="W58" i="5"/>
  <c r="AA58" i="5" s="1"/>
  <c r="AA58" i="36" s="1"/>
  <c r="V58" i="5"/>
  <c r="V58" i="36" s="1"/>
  <c r="V84" i="5"/>
  <c r="V84" i="36" s="1"/>
  <c r="W84" i="5"/>
  <c r="AA84" i="5" s="1"/>
  <c r="AA84" i="36" s="1"/>
  <c r="W77" i="5"/>
  <c r="AA77" i="5" s="1"/>
  <c r="AA77" i="36" s="1"/>
  <c r="V77" i="5"/>
  <c r="V77" i="36" s="1"/>
  <c r="V61" i="5"/>
  <c r="W61" i="5"/>
  <c r="AA61" i="5" s="1"/>
  <c r="AE61" i="5" s="1"/>
  <c r="U28" i="36"/>
  <c r="U19" i="36"/>
  <c r="X27" i="5"/>
  <c r="V18" i="5"/>
  <c r="W18" i="5"/>
  <c r="V9" i="5"/>
  <c r="W9" i="5"/>
  <c r="V57" i="5"/>
  <c r="X57" i="5" s="1"/>
  <c r="W57" i="5"/>
  <c r="W91" i="5"/>
  <c r="AA91" i="5" s="1"/>
  <c r="AA91" i="36" s="1"/>
  <c r="V91" i="5"/>
  <c r="V91" i="36" s="1"/>
  <c r="V74" i="5"/>
  <c r="V74" i="36" s="1"/>
  <c r="W74" i="5"/>
  <c r="AA74" i="5" s="1"/>
  <c r="AA74" i="36" s="1"/>
  <c r="V38" i="5"/>
  <c r="V38" i="36" s="1"/>
  <c r="W38" i="5"/>
  <c r="V32" i="5"/>
  <c r="X32" i="5" s="1"/>
  <c r="W32" i="5"/>
  <c r="Z32" i="5" s="1"/>
  <c r="W26" i="5"/>
  <c r="V26" i="5"/>
  <c r="V26" i="36" s="1"/>
  <c r="V21" i="5"/>
  <c r="V21" i="36" s="1"/>
  <c r="W21" i="5"/>
  <c r="W17" i="5"/>
  <c r="V17" i="5"/>
  <c r="V17" i="36" s="1"/>
  <c r="V13" i="5"/>
  <c r="W13" i="5"/>
  <c r="V64" i="5"/>
  <c r="V64" i="36" s="1"/>
  <c r="W64" i="5"/>
  <c r="AA64" i="5" s="1"/>
  <c r="AA64" i="36" s="1"/>
  <c r="V94" i="5"/>
  <c r="V94" i="36" s="1"/>
  <c r="W94" i="5"/>
  <c r="AA94" i="5" s="1"/>
  <c r="AA94" i="36" s="1"/>
  <c r="V89" i="5"/>
  <c r="V89" i="36" s="1"/>
  <c r="W89" i="5"/>
  <c r="AA89" i="5" s="1"/>
  <c r="AA89" i="36" s="1"/>
  <c r="V79" i="5"/>
  <c r="V79" i="36" s="1"/>
  <c r="W79" i="5"/>
  <c r="AA79" i="5" s="1"/>
  <c r="AA79" i="36" s="1"/>
  <c r="V73" i="5"/>
  <c r="V73" i="36" s="1"/>
  <c r="W73" i="5"/>
  <c r="AA73" i="5" s="1"/>
  <c r="AA73" i="36" s="1"/>
  <c r="W66" i="5"/>
  <c r="AA66" i="5" s="1"/>
  <c r="AE66" i="5" s="1"/>
  <c r="V66" i="5"/>
  <c r="U79" i="36"/>
  <c r="U74" i="36"/>
  <c r="U61" i="36"/>
  <c r="U26" i="36"/>
  <c r="U21" i="36"/>
  <c r="U17" i="36"/>
  <c r="U13" i="36"/>
  <c r="U7" i="36"/>
  <c r="W35" i="5"/>
  <c r="V35" i="5"/>
  <c r="V35" i="36" s="1"/>
  <c r="W24" i="5"/>
  <c r="V24" i="5"/>
  <c r="V15" i="5"/>
  <c r="W15" i="5"/>
  <c r="W96" i="5"/>
  <c r="AA96" i="5" s="1"/>
  <c r="AA96" i="36" s="1"/>
  <c r="V96" i="5"/>
  <c r="V96" i="36" s="1"/>
  <c r="V92" i="5"/>
  <c r="V92" i="36" s="1"/>
  <c r="W92" i="5"/>
  <c r="AA92" i="5" s="1"/>
  <c r="AA92" i="36" s="1"/>
  <c r="V70" i="5"/>
  <c r="X70" i="5" s="1"/>
  <c r="W70" i="5"/>
  <c r="AA70" i="5" s="1"/>
  <c r="U77" i="36"/>
  <c r="U24" i="36"/>
  <c r="U15" i="36"/>
  <c r="U10" i="36"/>
  <c r="V33" i="5"/>
  <c r="W33" i="5"/>
  <c r="W14" i="5"/>
  <c r="V14" i="5"/>
  <c r="V95" i="5"/>
  <c r="V95" i="36" s="1"/>
  <c r="W95" i="5"/>
  <c r="AA95" i="5" s="1"/>
  <c r="AA95" i="36" s="1"/>
  <c r="W80" i="5"/>
  <c r="AA80" i="5" s="1"/>
  <c r="AA80" i="36" s="1"/>
  <c r="V80" i="5"/>
  <c r="V80" i="36" s="1"/>
  <c r="V67" i="5"/>
  <c r="V67" i="36" s="1"/>
  <c r="W67" i="5"/>
  <c r="AA67" i="5" s="1"/>
  <c r="AA67" i="36" s="1"/>
  <c r="X68" i="5"/>
  <c r="U92" i="36"/>
  <c r="V37" i="5"/>
  <c r="W37" i="5"/>
  <c r="Z37" i="5" s="1"/>
  <c r="W29" i="5"/>
  <c r="V29" i="5"/>
  <c r="V29" i="36" s="1"/>
  <c r="V25" i="5"/>
  <c r="V25" i="36" s="1"/>
  <c r="W25" i="5"/>
  <c r="W20" i="5"/>
  <c r="V20" i="5"/>
  <c r="V20" i="36" s="1"/>
  <c r="V16" i="5"/>
  <c r="W16" i="5"/>
  <c r="W12" i="5"/>
  <c r="V12" i="5"/>
  <c r="V60" i="5"/>
  <c r="X60" i="5" s="1"/>
  <c r="W60" i="5"/>
  <c r="V98" i="5"/>
  <c r="V98" i="36" s="1"/>
  <c r="W98" i="5"/>
  <c r="AA98" i="5" s="1"/>
  <c r="AA98" i="36" s="1"/>
  <c r="W93" i="5"/>
  <c r="AA93" i="5" s="1"/>
  <c r="AA93" i="36" s="1"/>
  <c r="V93" i="5"/>
  <c r="V93" i="36" s="1"/>
  <c r="W88" i="5"/>
  <c r="AA88" i="36" s="1"/>
  <c r="AF88" i="36" s="1"/>
  <c r="V88" i="5"/>
  <c r="V88" i="36" s="1"/>
  <c r="V78" i="5"/>
  <c r="V78" i="36" s="1"/>
  <c r="W78" i="5"/>
  <c r="AA78" i="5" s="1"/>
  <c r="AA78" i="36" s="1"/>
  <c r="W71" i="5"/>
  <c r="AA71" i="5" s="1"/>
  <c r="AA71" i="36" s="1"/>
  <c r="V71" i="5"/>
  <c r="V71" i="36" s="1"/>
  <c r="V65" i="5"/>
  <c r="X65" i="5" s="1"/>
  <c r="V59" i="5"/>
  <c r="X59" i="5" s="1"/>
  <c r="U94" i="36"/>
  <c r="U84" i="36"/>
  <c r="U80" i="36"/>
  <c r="U68" i="36"/>
  <c r="U64" i="36"/>
  <c r="U58" i="36"/>
  <c r="U27" i="36"/>
  <c r="U18" i="36"/>
  <c r="U14" i="36"/>
  <c r="U9" i="36"/>
  <c r="U105" i="5"/>
  <c r="S108" i="5"/>
  <c r="T108" i="5"/>
  <c r="S103" i="1"/>
  <c r="T103" i="1"/>
  <c r="T104" i="1"/>
  <c r="T105" i="1"/>
  <c r="S106" i="1"/>
  <c r="T106" i="1"/>
  <c r="X106" i="1" s="1"/>
  <c r="U106" i="1"/>
  <c r="S107" i="1"/>
  <c r="T107" i="1"/>
  <c r="U107" i="1"/>
  <c r="S52" i="1"/>
  <c r="S52" i="36" s="1"/>
  <c r="S103" i="7"/>
  <c r="T103" i="7"/>
  <c r="S104" i="7"/>
  <c r="T104" i="7"/>
  <c r="S105" i="7"/>
  <c r="T105" i="7"/>
  <c r="S106" i="7"/>
  <c r="T106" i="7"/>
  <c r="S107" i="7"/>
  <c r="T107" i="7"/>
  <c r="U72" i="7"/>
  <c r="U32" i="3"/>
  <c r="O14" i="35"/>
  <c r="N14" i="35"/>
  <c r="U70" i="3"/>
  <c r="V70" i="3" s="1"/>
  <c r="U69" i="3"/>
  <c r="U65" i="36"/>
  <c r="U60" i="3"/>
  <c r="U59" i="3"/>
  <c r="U59" i="36" s="1"/>
  <c r="U57" i="3"/>
  <c r="U56" i="3"/>
  <c r="U46" i="3"/>
  <c r="U45" i="3"/>
  <c r="U41" i="3"/>
  <c r="AE48" i="7" l="1"/>
  <c r="AE48" i="36" s="1"/>
  <c r="AA55" i="36"/>
  <c r="AF55" i="36" s="1"/>
  <c r="AE55" i="36"/>
  <c r="AA53" i="36"/>
  <c r="AF53" i="36" s="1"/>
  <c r="AE53" i="36"/>
  <c r="AE44" i="36"/>
  <c r="AA66" i="36"/>
  <c r="AF66" i="36" s="1"/>
  <c r="AA61" i="36"/>
  <c r="AF61" i="36" s="1"/>
  <c r="AA50" i="36"/>
  <c r="AF50" i="36" s="1"/>
  <c r="AA70" i="36"/>
  <c r="AF70" i="36" s="1"/>
  <c r="AA44" i="36"/>
  <c r="AF44" i="36" s="1"/>
  <c r="Z43" i="7"/>
  <c r="AA43" i="7"/>
  <c r="AE43" i="7" s="1"/>
  <c r="Z57" i="5"/>
  <c r="AA57" i="5"/>
  <c r="AE57" i="5" s="1"/>
  <c r="Z48" i="5"/>
  <c r="AA48" i="5"/>
  <c r="AE48" i="5" s="1"/>
  <c r="Z45" i="7"/>
  <c r="AA45" i="7"/>
  <c r="AE45" i="7" s="1"/>
  <c r="Z60" i="5"/>
  <c r="AA60" i="5"/>
  <c r="AE60" i="5" s="1"/>
  <c r="Z45" i="5"/>
  <c r="AA45" i="5"/>
  <c r="AE45" i="5" s="1"/>
  <c r="S108" i="7"/>
  <c r="V43" i="36"/>
  <c r="X43" i="36" s="1"/>
  <c r="X105" i="1"/>
  <c r="Z107" i="2"/>
  <c r="V57" i="3"/>
  <c r="W57" i="3"/>
  <c r="AA57" i="3" s="1"/>
  <c r="AE57" i="3" s="1"/>
  <c r="V32" i="3"/>
  <c r="V32" i="36" s="1"/>
  <c r="X32" i="36" s="1"/>
  <c r="W32" i="3"/>
  <c r="AA32" i="3" s="1"/>
  <c r="AE32" i="3" s="1"/>
  <c r="Z93" i="5"/>
  <c r="W93" i="36"/>
  <c r="X16" i="5"/>
  <c r="V16" i="36"/>
  <c r="X16" i="36" s="1"/>
  <c r="Z35" i="5"/>
  <c r="W35" i="36"/>
  <c r="Z89" i="5"/>
  <c r="W89" i="36"/>
  <c r="Z13" i="5"/>
  <c r="W13" i="36"/>
  <c r="Z74" i="5"/>
  <c r="W74" i="36"/>
  <c r="Z18" i="5"/>
  <c r="W18" i="36"/>
  <c r="Z77" i="5"/>
  <c r="W77" i="36"/>
  <c r="Z58" i="5"/>
  <c r="W58" i="36"/>
  <c r="X19" i="5"/>
  <c r="V19" i="36"/>
  <c r="X19" i="36" s="1"/>
  <c r="V46" i="3"/>
  <c r="V46" i="36" s="1"/>
  <c r="X46" i="36" s="1"/>
  <c r="W46" i="3"/>
  <c r="AA46" i="3" s="1"/>
  <c r="AE46" i="3" s="1"/>
  <c r="U46" i="36"/>
  <c r="V59" i="3"/>
  <c r="W59" i="3"/>
  <c r="AA59" i="3" s="1"/>
  <c r="AE59" i="3" s="1"/>
  <c r="X70" i="3"/>
  <c r="V70" i="36"/>
  <c r="X70" i="36" s="1"/>
  <c r="U104" i="1"/>
  <c r="U37" i="1" s="1"/>
  <c r="U103" i="1" s="1"/>
  <c r="U108" i="1" s="1"/>
  <c r="V104" i="1"/>
  <c r="V37" i="1" s="1"/>
  <c r="Z98" i="5"/>
  <c r="W98" i="36"/>
  <c r="X12" i="5"/>
  <c r="V12" i="36"/>
  <c r="X12" i="36" s="1"/>
  <c r="X14" i="5"/>
  <c r="V14" i="36"/>
  <c r="X14" i="36" s="1"/>
  <c r="Z70" i="5"/>
  <c r="W70" i="36"/>
  <c r="X24" i="5"/>
  <c r="V24" i="36"/>
  <c r="X24" i="36" s="1"/>
  <c r="X13" i="5"/>
  <c r="V13" i="36"/>
  <c r="X13" i="36" s="1"/>
  <c r="X18" i="5"/>
  <c r="V18" i="36"/>
  <c r="X18" i="36" s="1"/>
  <c r="Z61" i="5"/>
  <c r="W61" i="36"/>
  <c r="Z84" i="5"/>
  <c r="W84" i="36"/>
  <c r="Z10" i="5"/>
  <c r="W10" i="36"/>
  <c r="Z28" i="5"/>
  <c r="W28" i="36"/>
  <c r="X39" i="7"/>
  <c r="V105" i="7"/>
  <c r="X105" i="7" s="1"/>
  <c r="Z44" i="1"/>
  <c r="W44" i="36"/>
  <c r="V60" i="3"/>
  <c r="W60" i="3"/>
  <c r="AA60" i="3" s="1"/>
  <c r="AE60" i="3" s="1"/>
  <c r="X52" i="1"/>
  <c r="Z71" i="5"/>
  <c r="W71" i="36"/>
  <c r="Z88" i="5"/>
  <c r="W88" i="36"/>
  <c r="Z12" i="5"/>
  <c r="W12" i="36"/>
  <c r="Z20" i="5"/>
  <c r="W20" i="36"/>
  <c r="Z29" i="5"/>
  <c r="W29" i="36"/>
  <c r="Z80" i="5"/>
  <c r="W80" i="36"/>
  <c r="Z14" i="5"/>
  <c r="W14" i="36"/>
  <c r="Z96" i="5"/>
  <c r="W96" i="36"/>
  <c r="Z24" i="5"/>
  <c r="W24" i="36"/>
  <c r="U57" i="36"/>
  <c r="X66" i="5"/>
  <c r="V66" i="36"/>
  <c r="X66" i="36" s="1"/>
  <c r="Z79" i="5"/>
  <c r="W79" i="36"/>
  <c r="Z94" i="5"/>
  <c r="W94" i="36"/>
  <c r="Z38" i="5"/>
  <c r="W38" i="36"/>
  <c r="Z9" i="5"/>
  <c r="W9" i="36"/>
  <c r="X61" i="5"/>
  <c r="V61" i="36"/>
  <c r="X61" i="36" s="1"/>
  <c r="Z39" i="5"/>
  <c r="W105" i="5"/>
  <c r="U70" i="36"/>
  <c r="Z39" i="7"/>
  <c r="W105" i="7"/>
  <c r="U60" i="36"/>
  <c r="X48" i="7"/>
  <c r="V48" i="36"/>
  <c r="X48" i="36" s="1"/>
  <c r="Z45" i="1"/>
  <c r="U32" i="36"/>
  <c r="S115" i="36" s="1"/>
  <c r="V45" i="3"/>
  <c r="V45" i="36" s="1"/>
  <c r="X45" i="36" s="1"/>
  <c r="W45" i="3"/>
  <c r="U45" i="36"/>
  <c r="V69" i="3"/>
  <c r="U69" i="36"/>
  <c r="X15" i="5"/>
  <c r="V15" i="36"/>
  <c r="X15" i="36" s="1"/>
  <c r="Z73" i="5"/>
  <c r="W73" i="36"/>
  <c r="Z64" i="5"/>
  <c r="W64" i="36"/>
  <c r="Z21" i="5"/>
  <c r="W21" i="36"/>
  <c r="Z55" i="1"/>
  <c r="W55" i="36"/>
  <c r="X50" i="5"/>
  <c r="V50" i="36"/>
  <c r="X50" i="36" s="1"/>
  <c r="V41" i="3"/>
  <c r="W41" i="3"/>
  <c r="AA41" i="3" s="1"/>
  <c r="U52" i="3"/>
  <c r="U41" i="36"/>
  <c r="U72" i="3"/>
  <c r="U106" i="3" s="1"/>
  <c r="V56" i="3"/>
  <c r="W56" i="3"/>
  <c r="AA56" i="3" s="1"/>
  <c r="U105" i="1"/>
  <c r="W52" i="1"/>
  <c r="AA52" i="1" s="1"/>
  <c r="AE52" i="1" s="1"/>
  <c r="AE105" i="1" s="1"/>
  <c r="Z78" i="5"/>
  <c r="W78" i="36"/>
  <c r="Z16" i="5"/>
  <c r="W16" i="36"/>
  <c r="Z25" i="5"/>
  <c r="W25" i="36"/>
  <c r="Z67" i="5"/>
  <c r="W67" i="36"/>
  <c r="Z95" i="5"/>
  <c r="W95" i="36"/>
  <c r="W33" i="36"/>
  <c r="Z33" i="5"/>
  <c r="Z92" i="5"/>
  <c r="W92" i="36"/>
  <c r="Z15" i="5"/>
  <c r="W15" i="36"/>
  <c r="Z66" i="5"/>
  <c r="W66" i="36"/>
  <c r="Z17" i="5"/>
  <c r="W17" i="36"/>
  <c r="Z26" i="5"/>
  <c r="W26" i="36"/>
  <c r="Z91" i="5"/>
  <c r="W91" i="36"/>
  <c r="X9" i="5"/>
  <c r="V9" i="36"/>
  <c r="X9" i="36" s="1"/>
  <c r="Z19" i="5"/>
  <c r="W19" i="36"/>
  <c r="X39" i="5"/>
  <c r="V105" i="5"/>
  <c r="X105" i="5" s="1"/>
  <c r="W43" i="36"/>
  <c r="Z50" i="5"/>
  <c r="W50" i="36"/>
  <c r="Z53" i="1"/>
  <c r="W53" i="36"/>
  <c r="Z48" i="7"/>
  <c r="W48" i="36"/>
  <c r="Z39" i="1"/>
  <c r="X33" i="5"/>
  <c r="V33" i="36"/>
  <c r="X33" i="36" s="1"/>
  <c r="U106" i="7"/>
  <c r="S105" i="1"/>
  <c r="T108" i="1"/>
  <c r="S104" i="1"/>
  <c r="T108" i="7"/>
  <c r="S103" i="3"/>
  <c r="T103" i="3"/>
  <c r="S106" i="3"/>
  <c r="T106" i="3"/>
  <c r="S107" i="3"/>
  <c r="T107" i="3"/>
  <c r="U107" i="3"/>
  <c r="T53" i="3"/>
  <c r="T104" i="3" s="1"/>
  <c r="S53" i="3"/>
  <c r="S53" i="36" s="1"/>
  <c r="O48" i="35"/>
  <c r="F28" i="35"/>
  <c r="T39" i="2"/>
  <c r="V39" i="2" s="1"/>
  <c r="R103" i="2"/>
  <c r="S103" i="2"/>
  <c r="R104" i="2"/>
  <c r="S104" i="2"/>
  <c r="R105" i="2"/>
  <c r="S105" i="2"/>
  <c r="R106" i="2"/>
  <c r="S106" i="2"/>
  <c r="W106" i="2" s="1"/>
  <c r="T106" i="2"/>
  <c r="R107" i="2"/>
  <c r="S107" i="2"/>
  <c r="AE105" i="7" l="1"/>
  <c r="S106" i="36"/>
  <c r="T104" i="36"/>
  <c r="U104" i="3"/>
  <c r="U37" i="3" s="1"/>
  <c r="V37" i="3" s="1"/>
  <c r="V103" i="3" s="1"/>
  <c r="X103" i="3" s="1"/>
  <c r="S103" i="36"/>
  <c r="AE105" i="5"/>
  <c r="T103" i="36"/>
  <c r="W39" i="36"/>
  <c r="Y39" i="2"/>
  <c r="AE104" i="1"/>
  <c r="AE56" i="3"/>
  <c r="AE41" i="3"/>
  <c r="X104" i="1"/>
  <c r="T107" i="36"/>
  <c r="AA105" i="1"/>
  <c r="AA65" i="36"/>
  <c r="AF65" i="36" s="1"/>
  <c r="AE65" i="36"/>
  <c r="AA46" i="36"/>
  <c r="AF46" i="36" s="1"/>
  <c r="AE46" i="36"/>
  <c r="AA57" i="36"/>
  <c r="AF57" i="36" s="1"/>
  <c r="AE57" i="36"/>
  <c r="AA60" i="36"/>
  <c r="AF60" i="36" s="1"/>
  <c r="AE60" i="36"/>
  <c r="AA59" i="36"/>
  <c r="AF59" i="36" s="1"/>
  <c r="AE59" i="36"/>
  <c r="AA48" i="36"/>
  <c r="AF48" i="36" s="1"/>
  <c r="AA43" i="36"/>
  <c r="AF43" i="36" s="1"/>
  <c r="AE43" i="36"/>
  <c r="AA32" i="36"/>
  <c r="AF32" i="36" s="1"/>
  <c r="AE32" i="36"/>
  <c r="AA105" i="5"/>
  <c r="Z45" i="3"/>
  <c r="AA45" i="3"/>
  <c r="AE45" i="3" s="1"/>
  <c r="AA105" i="7"/>
  <c r="S107" i="36"/>
  <c r="AA41" i="36"/>
  <c r="AF41" i="36" s="1"/>
  <c r="W45" i="36"/>
  <c r="Z39" i="2"/>
  <c r="V103" i="1"/>
  <c r="X103" i="1" s="1"/>
  <c r="X37" i="1"/>
  <c r="AA104" i="1"/>
  <c r="W105" i="1"/>
  <c r="S105" i="3"/>
  <c r="S105" i="36" s="1"/>
  <c r="Z52" i="1"/>
  <c r="Z32" i="3"/>
  <c r="W32" i="36"/>
  <c r="W104" i="1"/>
  <c r="W37" i="1" s="1"/>
  <c r="Z37" i="1" s="1"/>
  <c r="V52" i="3"/>
  <c r="V52" i="36" s="1"/>
  <c r="W52" i="3"/>
  <c r="W105" i="3" s="1"/>
  <c r="X69" i="3"/>
  <c r="V69" i="36"/>
  <c r="X69" i="36" s="1"/>
  <c r="Z60" i="3"/>
  <c r="W60" i="36"/>
  <c r="U105" i="3"/>
  <c r="W65" i="36"/>
  <c r="V72" i="3"/>
  <c r="Z41" i="3"/>
  <c r="W41" i="36"/>
  <c r="X60" i="3"/>
  <c r="V60" i="36"/>
  <c r="X60" i="36" s="1"/>
  <c r="Z59" i="3"/>
  <c r="W59" i="36"/>
  <c r="Z57" i="3"/>
  <c r="W57" i="36"/>
  <c r="Z56" i="3"/>
  <c r="W72" i="3"/>
  <c r="AA72" i="3" s="1"/>
  <c r="AE72" i="3" s="1"/>
  <c r="Z46" i="3"/>
  <c r="W46" i="36"/>
  <c r="Z53" i="3"/>
  <c r="T53" i="36"/>
  <c r="X53" i="36" s="1"/>
  <c r="T105" i="3"/>
  <c r="T105" i="36" s="1"/>
  <c r="S104" i="3"/>
  <c r="S108" i="3" s="1"/>
  <c r="V65" i="36"/>
  <c r="X65" i="36" s="1"/>
  <c r="V41" i="36"/>
  <c r="X41" i="36" s="1"/>
  <c r="U52" i="36"/>
  <c r="X59" i="3"/>
  <c r="V59" i="36"/>
  <c r="X59" i="36" s="1"/>
  <c r="V57" i="36"/>
  <c r="X57" i="36" s="1"/>
  <c r="X57" i="3"/>
  <c r="W106" i="7"/>
  <c r="X72" i="7"/>
  <c r="V106" i="7"/>
  <c r="X106" i="7" s="1"/>
  <c r="T106" i="36"/>
  <c r="S108" i="2"/>
  <c r="T105" i="2"/>
  <c r="U39" i="2"/>
  <c r="V39" i="36" s="1"/>
  <c r="X39" i="36" s="1"/>
  <c r="U39" i="36"/>
  <c r="R108" i="2"/>
  <c r="S108" i="1"/>
  <c r="T108" i="3"/>
  <c r="U103" i="3" l="1"/>
  <c r="U108" i="3" s="1"/>
  <c r="AE41" i="36"/>
  <c r="AE56" i="36"/>
  <c r="AE106" i="3"/>
  <c r="W103" i="1"/>
  <c r="W108" i="1" s="1"/>
  <c r="S104" i="36"/>
  <c r="AJ39" i="2"/>
  <c r="AK39" i="2" s="1"/>
  <c r="AK39" i="36" s="1"/>
  <c r="AD39" i="2"/>
  <c r="AA37" i="1"/>
  <c r="AE37" i="1" s="1"/>
  <c r="AE103" i="1" s="1"/>
  <c r="AA45" i="36"/>
  <c r="AF45" i="36" s="1"/>
  <c r="AE45" i="36"/>
  <c r="W106" i="3"/>
  <c r="AA106" i="3"/>
  <c r="Z52" i="3"/>
  <c r="AA52" i="3"/>
  <c r="Z105" i="2"/>
  <c r="Z104" i="2"/>
  <c r="AA39" i="36"/>
  <c r="AF39" i="36" s="1"/>
  <c r="V108" i="1"/>
  <c r="V105" i="36"/>
  <c r="X105" i="36" s="1"/>
  <c r="X52" i="36"/>
  <c r="V104" i="3"/>
  <c r="V108" i="3" s="1"/>
  <c r="W52" i="36"/>
  <c r="W105" i="36" s="1"/>
  <c r="V106" i="3"/>
  <c r="X106" i="3" s="1"/>
  <c r="T108" i="36"/>
  <c r="W104" i="3"/>
  <c r="W37" i="3" s="1"/>
  <c r="X72" i="3"/>
  <c r="V105" i="3"/>
  <c r="X105" i="3" s="1"/>
  <c r="Z72" i="3"/>
  <c r="W39" i="2"/>
  <c r="U105" i="2"/>
  <c r="W105" i="2" s="1"/>
  <c r="V105" i="2"/>
  <c r="V104" i="2"/>
  <c r="S108" i="36"/>
  <c r="U105" i="36"/>
  <c r="R57" i="7"/>
  <c r="AK105" i="36" l="1"/>
  <c r="AI39" i="36"/>
  <c r="AI105" i="36" s="1"/>
  <c r="AE108" i="1"/>
  <c r="AJ104" i="2"/>
  <c r="AJ108" i="2" s="1"/>
  <c r="AJ105" i="2"/>
  <c r="V37" i="2"/>
  <c r="Y37" i="2" s="1"/>
  <c r="AD105" i="2"/>
  <c r="AD104" i="2"/>
  <c r="AE39" i="36"/>
  <c r="AE52" i="3"/>
  <c r="Z37" i="2"/>
  <c r="AD37" i="2" s="1"/>
  <c r="AD103" i="2" s="1"/>
  <c r="AA103" i="1"/>
  <c r="AA105" i="3"/>
  <c r="AA104" i="3"/>
  <c r="AA52" i="36"/>
  <c r="X104" i="3"/>
  <c r="W103" i="3"/>
  <c r="W108" i="3" s="1"/>
  <c r="Z37" i="3"/>
  <c r="F62" i="35"/>
  <c r="C143" i="35"/>
  <c r="R143" i="35" s="1"/>
  <c r="AK105" i="2" l="1"/>
  <c r="AK104" i="2"/>
  <c r="AI104" i="36"/>
  <c r="AE52" i="36"/>
  <c r="AE105" i="36" s="1"/>
  <c r="AE105" i="3"/>
  <c r="AE104" i="3"/>
  <c r="AE37" i="3" s="1"/>
  <c r="AD108" i="2"/>
  <c r="AA37" i="3"/>
  <c r="AA108" i="1"/>
  <c r="Z103" i="2"/>
  <c r="AA105" i="36"/>
  <c r="AF52" i="36"/>
  <c r="F143" i="35"/>
  <c r="J143" i="35" s="1"/>
  <c r="H143" i="35"/>
  <c r="J62" i="35"/>
  <c r="F142" i="35"/>
  <c r="R52" i="5"/>
  <c r="R39" i="5"/>
  <c r="R55" i="5"/>
  <c r="R53" i="5"/>
  <c r="R48" i="5"/>
  <c r="R45" i="5"/>
  <c r="R44" i="5"/>
  <c r="R50" i="5"/>
  <c r="R49" i="5"/>
  <c r="R111" i="36"/>
  <c r="R22" i="5"/>
  <c r="U22" i="5" s="1"/>
  <c r="E173" i="35"/>
  <c r="K173" i="35"/>
  <c r="L173" i="35"/>
  <c r="M173" i="35"/>
  <c r="F113" i="35"/>
  <c r="F114" i="35"/>
  <c r="F116" i="35"/>
  <c r="F117" i="35"/>
  <c r="F118" i="35"/>
  <c r="F119" i="35"/>
  <c r="F120" i="35"/>
  <c r="F121" i="35"/>
  <c r="F122" i="35"/>
  <c r="F123" i="35"/>
  <c r="F124" i="35"/>
  <c r="F125" i="35"/>
  <c r="F127" i="35"/>
  <c r="F128" i="35"/>
  <c r="F129" i="35"/>
  <c r="F130" i="35"/>
  <c r="F131" i="35"/>
  <c r="F132" i="35"/>
  <c r="F133" i="35"/>
  <c r="F134" i="35"/>
  <c r="F135" i="35"/>
  <c r="F136" i="35"/>
  <c r="F137" i="35"/>
  <c r="F138" i="35"/>
  <c r="N138" i="35" s="1"/>
  <c r="F139" i="35"/>
  <c r="J139" i="35" s="1"/>
  <c r="F141" i="35"/>
  <c r="J141" i="35" s="1"/>
  <c r="Q65" i="36"/>
  <c r="R56" i="5"/>
  <c r="U56" i="5" s="1"/>
  <c r="C126" i="35"/>
  <c r="R126" i="35" s="1"/>
  <c r="R173" i="35" s="1"/>
  <c r="M79" i="35"/>
  <c r="AK37" i="2" l="1"/>
  <c r="AK37" i="36" s="1"/>
  <c r="AE103" i="3"/>
  <c r="AI108" i="36"/>
  <c r="AI111" i="36" s="1"/>
  <c r="AF105" i="36"/>
  <c r="Z108" i="2"/>
  <c r="AA103" i="3"/>
  <c r="AA90" i="5"/>
  <c r="C173" i="35"/>
  <c r="H126" i="35"/>
  <c r="H173" i="35" s="1"/>
  <c r="V56" i="5"/>
  <c r="U72" i="5"/>
  <c r="U72" i="36" s="1"/>
  <c r="W56" i="5"/>
  <c r="AA56" i="5" s="1"/>
  <c r="AE56" i="5" s="1"/>
  <c r="U56" i="36"/>
  <c r="J140" i="35"/>
  <c r="W22" i="5"/>
  <c r="V22" i="5"/>
  <c r="V22" i="36" s="1"/>
  <c r="X22" i="36" s="1"/>
  <c r="U22" i="36"/>
  <c r="F126" i="35"/>
  <c r="N142" i="35"/>
  <c r="J142" i="35"/>
  <c r="N141" i="35"/>
  <c r="N139" i="35"/>
  <c r="J138" i="35"/>
  <c r="AK103" i="2" l="1"/>
  <c r="AK103" i="36" s="1"/>
  <c r="AK101" i="5"/>
  <c r="AK101" i="36" s="1"/>
  <c r="AK106" i="36" s="1"/>
  <c r="AE108" i="3"/>
  <c r="AA108" i="3"/>
  <c r="AA72" i="5"/>
  <c r="AE72" i="5" s="1"/>
  <c r="AA56" i="36"/>
  <c r="AF56" i="36" s="1"/>
  <c r="U90" i="5"/>
  <c r="V72" i="5"/>
  <c r="X56" i="5"/>
  <c r="V56" i="36"/>
  <c r="X56" i="36" s="1"/>
  <c r="W90" i="5"/>
  <c r="H175" i="35"/>
  <c r="Z22" i="5"/>
  <c r="W22" i="36"/>
  <c r="Z56" i="5"/>
  <c r="W72" i="5"/>
  <c r="W56" i="36"/>
  <c r="X22" i="5"/>
  <c r="M80" i="35"/>
  <c r="M81" i="35"/>
  <c r="M82" i="35"/>
  <c r="M83" i="35"/>
  <c r="M84" i="35"/>
  <c r="M86" i="35"/>
  <c r="M87" i="35"/>
  <c r="M88" i="35"/>
  <c r="M89" i="35"/>
  <c r="M90" i="35"/>
  <c r="M91" i="35"/>
  <c r="M92" i="35"/>
  <c r="M95" i="35"/>
  <c r="M96" i="35"/>
  <c r="M97" i="35"/>
  <c r="M99" i="35"/>
  <c r="M100" i="35"/>
  <c r="M101" i="35"/>
  <c r="M102" i="35"/>
  <c r="M104" i="35"/>
  <c r="M105" i="35"/>
  <c r="J113" i="35"/>
  <c r="N113" i="35"/>
  <c r="J114" i="35"/>
  <c r="J116" i="35"/>
  <c r="J117" i="35"/>
  <c r="N117" i="35"/>
  <c r="J118" i="35"/>
  <c r="N118" i="35"/>
  <c r="J119" i="35"/>
  <c r="N120" i="35"/>
  <c r="J120" i="35"/>
  <c r="J121" i="35"/>
  <c r="N121" i="35"/>
  <c r="J122" i="35"/>
  <c r="N122" i="35"/>
  <c r="J123" i="35"/>
  <c r="N124" i="35"/>
  <c r="J124" i="35"/>
  <c r="J125" i="35"/>
  <c r="N125" i="35"/>
  <c r="N126" i="35"/>
  <c r="J127" i="35"/>
  <c r="N128" i="35"/>
  <c r="J128" i="35"/>
  <c r="J129" i="35"/>
  <c r="N129" i="35"/>
  <c r="J130" i="35"/>
  <c r="N130" i="35"/>
  <c r="J131" i="35"/>
  <c r="N132" i="35"/>
  <c r="J132" i="35"/>
  <c r="J133" i="35"/>
  <c r="J134" i="35"/>
  <c r="N134" i="35"/>
  <c r="J135" i="35"/>
  <c r="N136" i="35"/>
  <c r="J136" i="35"/>
  <c r="J137" i="35"/>
  <c r="N137" i="35"/>
  <c r="F112" i="35"/>
  <c r="F173" i="35" s="1"/>
  <c r="V90" i="5" s="1"/>
  <c r="V107" i="5" s="1"/>
  <c r="X107" i="5" s="1"/>
  <c r="AK104" i="5" l="1"/>
  <c r="AK104" i="36" s="1"/>
  <c r="AK106" i="5"/>
  <c r="AK108" i="2"/>
  <c r="AA72" i="36"/>
  <c r="AF72" i="36" s="1"/>
  <c r="AA107" i="5"/>
  <c r="Z90" i="5"/>
  <c r="W107" i="5"/>
  <c r="Z72" i="5"/>
  <c r="W72" i="36"/>
  <c r="X72" i="5"/>
  <c r="V72" i="36"/>
  <c r="X72" i="36" s="1"/>
  <c r="X90" i="5"/>
  <c r="N112" i="35"/>
  <c r="U107" i="5"/>
  <c r="J126" i="35"/>
  <c r="N135" i="35"/>
  <c r="N131" i="35"/>
  <c r="N127" i="35"/>
  <c r="N123" i="35"/>
  <c r="N119" i="35"/>
  <c r="N114" i="35"/>
  <c r="J112" i="35"/>
  <c r="M77" i="35"/>
  <c r="L77" i="35"/>
  <c r="E67" i="35"/>
  <c r="G67" i="35"/>
  <c r="M48" i="35"/>
  <c r="M14" i="35"/>
  <c r="AK108" i="5" l="1"/>
  <c r="AK108" i="36"/>
  <c r="AK111" i="36" s="1"/>
  <c r="J173" i="35"/>
  <c r="N173" i="35"/>
  <c r="R52" i="7"/>
  <c r="R39" i="7"/>
  <c r="R109" i="36" l="1"/>
  <c r="Q110" i="36"/>
  <c r="R110" i="36"/>
  <c r="Q3" i="36"/>
  <c r="Q4" i="36"/>
  <c r="Q6" i="36"/>
  <c r="Q7" i="36"/>
  <c r="R7" i="36"/>
  <c r="Q9" i="36"/>
  <c r="R9" i="36"/>
  <c r="Q10" i="36"/>
  <c r="R10" i="36"/>
  <c r="Q12" i="36"/>
  <c r="R12" i="36"/>
  <c r="Q13" i="36"/>
  <c r="R13" i="36"/>
  <c r="Q14" i="36"/>
  <c r="R14" i="36"/>
  <c r="Q15" i="36"/>
  <c r="R15" i="36"/>
  <c r="Q16" i="36"/>
  <c r="R16" i="36"/>
  <c r="Q17" i="36"/>
  <c r="R17" i="36"/>
  <c r="Q18" i="36"/>
  <c r="R18" i="36"/>
  <c r="Q19" i="36"/>
  <c r="R19" i="36"/>
  <c r="Q20" i="36"/>
  <c r="R20" i="36"/>
  <c r="Q21" i="36"/>
  <c r="Q22" i="36"/>
  <c r="R22" i="36"/>
  <c r="Q24" i="36"/>
  <c r="R24" i="36"/>
  <c r="Q25" i="36"/>
  <c r="R25" i="36"/>
  <c r="Q26" i="36"/>
  <c r="R26" i="36"/>
  <c r="R27" i="36"/>
  <c r="Q28" i="36"/>
  <c r="R28" i="36"/>
  <c r="Q29" i="36"/>
  <c r="R29" i="36"/>
  <c r="Q30" i="36"/>
  <c r="R30" i="36"/>
  <c r="Q31" i="36"/>
  <c r="R31" i="36"/>
  <c r="Q32" i="36"/>
  <c r="R32" i="36"/>
  <c r="Q33" i="36"/>
  <c r="R33" i="36"/>
  <c r="Q35" i="36"/>
  <c r="R35" i="36"/>
  <c r="Q37" i="36"/>
  <c r="Q38" i="36"/>
  <c r="Q39" i="36"/>
  <c r="R39" i="36"/>
  <c r="Q40" i="36"/>
  <c r="R40" i="36"/>
  <c r="Q41" i="36"/>
  <c r="R41" i="36"/>
  <c r="Q42" i="36"/>
  <c r="R42" i="36"/>
  <c r="Q43" i="36"/>
  <c r="R43" i="36"/>
  <c r="Q44" i="36"/>
  <c r="R44" i="36"/>
  <c r="Q45" i="36"/>
  <c r="R45" i="36"/>
  <c r="Q46" i="36"/>
  <c r="R46" i="36"/>
  <c r="Q48" i="36"/>
  <c r="R48" i="36"/>
  <c r="Q49" i="36"/>
  <c r="R49" i="36"/>
  <c r="Q50" i="36"/>
  <c r="R50" i="36"/>
  <c r="Q51" i="36"/>
  <c r="R51" i="36"/>
  <c r="Q52" i="36"/>
  <c r="R52" i="36"/>
  <c r="R53" i="36"/>
  <c r="Q54" i="36"/>
  <c r="R54" i="36"/>
  <c r="Q55" i="36"/>
  <c r="R55" i="36"/>
  <c r="Q56" i="36"/>
  <c r="Q57" i="36"/>
  <c r="R57" i="36"/>
  <c r="Q58" i="36"/>
  <c r="Q59" i="36"/>
  <c r="Q60" i="36"/>
  <c r="Q61" i="36"/>
  <c r="Q64" i="36"/>
  <c r="Q66" i="36"/>
  <c r="Q67" i="36"/>
  <c r="Q68" i="36"/>
  <c r="Q69" i="36"/>
  <c r="Q70" i="36"/>
  <c r="Q71" i="36"/>
  <c r="Q72" i="36"/>
  <c r="Q73" i="36"/>
  <c r="Q74" i="36"/>
  <c r="Q76" i="36"/>
  <c r="Q77" i="36"/>
  <c r="Q78" i="36"/>
  <c r="Q79" i="36"/>
  <c r="Q80" i="36"/>
  <c r="Q81" i="36"/>
  <c r="Q82" i="36"/>
  <c r="Q83" i="36"/>
  <c r="Q84" i="36"/>
  <c r="Q85" i="36"/>
  <c r="Q86" i="36"/>
  <c r="Q87" i="36"/>
  <c r="Q88" i="36"/>
  <c r="Q89" i="36"/>
  <c r="Q90" i="36"/>
  <c r="Q91" i="36"/>
  <c r="R91" i="36"/>
  <c r="Q92" i="36"/>
  <c r="R92" i="36"/>
  <c r="Q93" i="36"/>
  <c r="R93" i="36"/>
  <c r="Q94" i="36"/>
  <c r="R94" i="36"/>
  <c r="Q95" i="36"/>
  <c r="R95" i="36"/>
  <c r="Q96" i="36"/>
  <c r="R96" i="36"/>
  <c r="Q98" i="36"/>
  <c r="R98" i="36"/>
  <c r="Q100" i="36"/>
  <c r="R100" i="36"/>
  <c r="Q101" i="36"/>
  <c r="Q27" i="5"/>
  <c r="Q27" i="36" s="1"/>
  <c r="Q104" i="5"/>
  <c r="Q105" i="5"/>
  <c r="R105" i="5"/>
  <c r="Q106" i="5"/>
  <c r="Q107" i="5"/>
  <c r="R107" i="5"/>
  <c r="Q109" i="3"/>
  <c r="Q109" i="36" s="1"/>
  <c r="Q103" i="3"/>
  <c r="R104" i="3"/>
  <c r="R37" i="3" s="1"/>
  <c r="R103" i="3" s="1"/>
  <c r="R105" i="3"/>
  <c r="Q106" i="3"/>
  <c r="R106" i="3"/>
  <c r="Q107" i="3"/>
  <c r="R107" i="3"/>
  <c r="Q53" i="3"/>
  <c r="Q53" i="36" s="1"/>
  <c r="R38" i="1"/>
  <c r="R38" i="36" s="1"/>
  <c r="Q103" i="1"/>
  <c r="Q104" i="1"/>
  <c r="Q105" i="1"/>
  <c r="R105" i="1"/>
  <c r="Q106" i="1"/>
  <c r="R106" i="1"/>
  <c r="Q107" i="1"/>
  <c r="R107" i="1"/>
  <c r="F63" i="35"/>
  <c r="J63" i="35" s="1"/>
  <c r="F61" i="35"/>
  <c r="N61" i="35" s="1"/>
  <c r="P61" i="35" s="1"/>
  <c r="F60" i="35"/>
  <c r="N60" i="35" s="1"/>
  <c r="P60" i="35" s="1"/>
  <c r="F59" i="35"/>
  <c r="J59" i="35" s="1"/>
  <c r="E48" i="35"/>
  <c r="G48" i="35"/>
  <c r="K48" i="35"/>
  <c r="L48" i="35"/>
  <c r="C48" i="35"/>
  <c r="T90" i="2" s="1"/>
  <c r="F24" i="35"/>
  <c r="J24" i="35" s="1"/>
  <c r="F25" i="35"/>
  <c r="J25" i="35" s="1"/>
  <c r="J28" i="35"/>
  <c r="F29" i="35"/>
  <c r="F30" i="35"/>
  <c r="F31" i="35"/>
  <c r="J31" i="35" s="1"/>
  <c r="F32" i="35"/>
  <c r="J32" i="35" s="1"/>
  <c r="F33" i="35"/>
  <c r="Q105" i="3" l="1"/>
  <c r="Q104" i="3"/>
  <c r="Q108" i="3" s="1"/>
  <c r="Q103" i="5"/>
  <c r="Q108" i="5" s="1"/>
  <c r="R104" i="1"/>
  <c r="R37" i="1" s="1"/>
  <c r="R103" i="1" s="1"/>
  <c r="R108" i="1" s="1"/>
  <c r="R108" i="3"/>
  <c r="Q108" i="1"/>
  <c r="F48" i="35"/>
  <c r="N63" i="35"/>
  <c r="P63" i="35" s="1"/>
  <c r="J61" i="35"/>
  <c r="J30" i="35"/>
  <c r="J60" i="35"/>
  <c r="J33" i="35"/>
  <c r="J29" i="35"/>
  <c r="T107" i="2" l="1"/>
  <c r="U90" i="2"/>
  <c r="J48" i="35"/>
  <c r="N48" i="35"/>
  <c r="Q90" i="2" s="1"/>
  <c r="T104" i="2" l="1"/>
  <c r="W90" i="2"/>
  <c r="U107" i="2"/>
  <c r="W107" i="2" s="1"/>
  <c r="U104" i="2"/>
  <c r="P103" i="2"/>
  <c r="P104" i="2"/>
  <c r="Q104" i="2"/>
  <c r="P105" i="2"/>
  <c r="Q105" i="2"/>
  <c r="P106" i="2"/>
  <c r="Q106" i="2"/>
  <c r="P107" i="2"/>
  <c r="Q107" i="2"/>
  <c r="T37" i="2" l="1"/>
  <c r="T103" i="2" s="1"/>
  <c r="W104" i="2"/>
  <c r="U37" i="2"/>
  <c r="P108" i="2"/>
  <c r="V103" i="2"/>
  <c r="Q37" i="2"/>
  <c r="T108" i="2" l="1"/>
  <c r="V108" i="2"/>
  <c r="W37" i="2"/>
  <c r="U103" i="2"/>
  <c r="Q103" i="2"/>
  <c r="Q2" i="36"/>
  <c r="L6" i="37"/>
  <c r="N6" i="37" s="1"/>
  <c r="O6" i="37" s="1"/>
  <c r="L4" i="37"/>
  <c r="N4" i="37" s="1"/>
  <c r="L5" i="37"/>
  <c r="N5" i="37" s="1"/>
  <c r="O5" i="37" s="1"/>
  <c r="L7" i="37"/>
  <c r="L8" i="37"/>
  <c r="N8" i="37" s="1"/>
  <c r="O8" i="37" s="1"/>
  <c r="L9" i="37"/>
  <c r="N9" i="37" s="1"/>
  <c r="L10" i="37"/>
  <c r="N10" i="37" s="1"/>
  <c r="O10" i="37" s="1"/>
  <c r="L11" i="37"/>
  <c r="N11" i="37" s="1"/>
  <c r="L12" i="37"/>
  <c r="N12" i="37" s="1"/>
  <c r="O12" i="37" s="1"/>
  <c r="L13" i="37"/>
  <c r="N13" i="37" s="1"/>
  <c r="L14" i="37"/>
  <c r="L15" i="37"/>
  <c r="N15" i="37" s="1"/>
  <c r="O15" i="37" s="1"/>
  <c r="L16" i="37"/>
  <c r="N16" i="37" s="1"/>
  <c r="O16" i="37" s="1"/>
  <c r="L2" i="37"/>
  <c r="K9" i="37"/>
  <c r="K13" i="37"/>
  <c r="O3" i="33"/>
  <c r="R3" i="33" s="1"/>
  <c r="O4" i="33"/>
  <c r="R4" i="33" s="1"/>
  <c r="O5" i="33"/>
  <c r="R5" i="33" s="1"/>
  <c r="O6" i="33"/>
  <c r="R6" i="33" s="1"/>
  <c r="O7" i="33"/>
  <c r="R7" i="33" s="1"/>
  <c r="O8" i="33"/>
  <c r="R8" i="33" s="1"/>
  <c r="O9" i="33"/>
  <c r="R9" i="33" s="1"/>
  <c r="S9" i="33" s="1"/>
  <c r="O10" i="33"/>
  <c r="R10" i="33" s="1"/>
  <c r="S10" i="33" s="1"/>
  <c r="O11" i="33"/>
  <c r="R11" i="33" s="1"/>
  <c r="S11" i="33" s="1"/>
  <c r="O12" i="33"/>
  <c r="R12" i="33" s="1"/>
  <c r="S12" i="33" s="1"/>
  <c r="O13" i="33"/>
  <c r="R13" i="33" s="1"/>
  <c r="S13" i="33" s="1"/>
  <c r="O14" i="33"/>
  <c r="R14" i="33" s="1"/>
  <c r="S14" i="33" s="1"/>
  <c r="O15" i="33"/>
  <c r="R15" i="33" s="1"/>
  <c r="O16" i="33"/>
  <c r="R16" i="33" s="1"/>
  <c r="S16" i="33" s="1"/>
  <c r="O17" i="33"/>
  <c r="R17" i="33" s="1"/>
  <c r="O18" i="33"/>
  <c r="R18" i="33" s="1"/>
  <c r="O19" i="33"/>
  <c r="R19" i="33" s="1"/>
  <c r="S19" i="33" s="1"/>
  <c r="O20" i="33"/>
  <c r="R20" i="33" s="1"/>
  <c r="O21" i="33"/>
  <c r="R21" i="33" s="1"/>
  <c r="S21" i="33" s="1"/>
  <c r="O24" i="33"/>
  <c r="O2" i="33"/>
  <c r="R2" i="33" s="1"/>
  <c r="N20" i="33"/>
  <c r="P20" i="33" s="1"/>
  <c r="Q20" i="33" s="1"/>
  <c r="N17" i="33"/>
  <c r="N8" i="33"/>
  <c r="K28" i="32"/>
  <c r="K19" i="37" l="1"/>
  <c r="L19" i="37"/>
  <c r="N2" i="37"/>
  <c r="M7" i="37"/>
  <c r="M19" i="37" s="1"/>
  <c r="N7" i="37"/>
  <c r="O7" i="37" s="1"/>
  <c r="O19" i="37" s="1"/>
  <c r="S25" i="33"/>
  <c r="W82" i="5" s="1"/>
  <c r="Z82" i="5" s="1"/>
  <c r="R25" i="33"/>
  <c r="U82" i="5" s="1"/>
  <c r="U108" i="2"/>
  <c r="W103" i="2"/>
  <c r="Q108" i="2"/>
  <c r="O25" i="33"/>
  <c r="L28" i="32"/>
  <c r="M28" i="32" s="1"/>
  <c r="L27" i="32"/>
  <c r="L26" i="32"/>
  <c r="K35" i="32"/>
  <c r="L23" i="32"/>
  <c r="L18" i="32"/>
  <c r="L16" i="32"/>
  <c r="L15" i="32"/>
  <c r="L13" i="32"/>
  <c r="M2" i="32"/>
  <c r="N14" i="33"/>
  <c r="P14" i="33" s="1"/>
  <c r="N19" i="37" l="1"/>
  <c r="U87" i="5" s="1"/>
  <c r="U87" i="36" s="1"/>
  <c r="N25" i="33"/>
  <c r="Q14" i="33"/>
  <c r="Q25" i="33" s="1"/>
  <c r="P25" i="33"/>
  <c r="U82" i="36"/>
  <c r="V82" i="5"/>
  <c r="L35" i="32"/>
  <c r="P28" i="32"/>
  <c r="R6" i="5"/>
  <c r="M13" i="32"/>
  <c r="R3" i="5"/>
  <c r="M19" i="32"/>
  <c r="P19" i="32" s="1"/>
  <c r="R4" i="5"/>
  <c r="P2" i="32"/>
  <c r="R2" i="5"/>
  <c r="U2" i="5" s="1"/>
  <c r="R58" i="7"/>
  <c r="R58" i="36" s="1"/>
  <c r="R59" i="7"/>
  <c r="R59" i="36" s="1"/>
  <c r="R60" i="7"/>
  <c r="R61" i="7"/>
  <c r="R61" i="36" s="1"/>
  <c r="R64" i="7"/>
  <c r="R64" i="36" s="1"/>
  <c r="R65" i="7"/>
  <c r="R65" i="36" s="1"/>
  <c r="R66" i="7"/>
  <c r="R66" i="36" s="1"/>
  <c r="R67" i="7"/>
  <c r="R67" i="36" s="1"/>
  <c r="R68" i="7"/>
  <c r="R68" i="36" s="1"/>
  <c r="R70" i="7"/>
  <c r="R70" i="36" s="1"/>
  <c r="R71" i="7"/>
  <c r="R71" i="36" s="1"/>
  <c r="R73" i="7"/>
  <c r="R73" i="36" s="1"/>
  <c r="R74" i="7"/>
  <c r="R74" i="36" s="1"/>
  <c r="R76" i="7"/>
  <c r="R76" i="36" s="1"/>
  <c r="R77" i="7"/>
  <c r="R77" i="36" s="1"/>
  <c r="R78" i="7"/>
  <c r="R78" i="36" s="1"/>
  <c r="R79" i="7"/>
  <c r="R79" i="36" s="1"/>
  <c r="R80" i="7"/>
  <c r="R80" i="36" s="1"/>
  <c r="R81" i="7"/>
  <c r="R81" i="36" s="1"/>
  <c r="R82" i="7"/>
  <c r="R82" i="36" s="1"/>
  <c r="R83" i="7"/>
  <c r="R83" i="36" s="1"/>
  <c r="R84" i="7"/>
  <c r="R84" i="36" s="1"/>
  <c r="R85" i="7"/>
  <c r="R85" i="36" s="1"/>
  <c r="R86" i="7"/>
  <c r="R86" i="36" s="1"/>
  <c r="R87" i="7"/>
  <c r="R87" i="36" s="1"/>
  <c r="R88" i="7"/>
  <c r="R88" i="36" s="1"/>
  <c r="R89" i="7"/>
  <c r="R89" i="36" s="1"/>
  <c r="R56" i="7"/>
  <c r="R56" i="36" s="1"/>
  <c r="R105" i="7"/>
  <c r="R105" i="36" s="1"/>
  <c r="V87" i="5" l="1"/>
  <c r="W87" i="5" s="1"/>
  <c r="Z87" i="5" s="1"/>
  <c r="M35" i="32"/>
  <c r="Q2" i="32"/>
  <c r="Q35" i="32" s="1"/>
  <c r="U116" i="36"/>
  <c r="V87" i="36"/>
  <c r="X87" i="36" s="1"/>
  <c r="X82" i="5"/>
  <c r="V82" i="36"/>
  <c r="X82" i="36" s="1"/>
  <c r="W82" i="36"/>
  <c r="U3" i="5"/>
  <c r="R3" i="36"/>
  <c r="P13" i="32"/>
  <c r="P35" i="32" s="1"/>
  <c r="U4" i="5"/>
  <c r="R4" i="36"/>
  <c r="U6" i="5"/>
  <c r="R6" i="36"/>
  <c r="R2" i="36"/>
  <c r="R103" i="5"/>
  <c r="R60" i="36"/>
  <c r="C58" i="35"/>
  <c r="W87" i="36" l="1"/>
  <c r="X87" i="5"/>
  <c r="H58" i="35"/>
  <c r="H67" i="35" s="1"/>
  <c r="W90" i="7" s="1"/>
  <c r="W104" i="7" s="1"/>
  <c r="W37" i="7" s="1"/>
  <c r="R58" i="35"/>
  <c r="R67" i="35" s="1"/>
  <c r="AA90" i="7" s="1"/>
  <c r="U6" i="36"/>
  <c r="V6" i="5"/>
  <c r="W6" i="5"/>
  <c r="W2" i="5"/>
  <c r="Z2" i="5" s="1"/>
  <c r="U103" i="5"/>
  <c r="U2" i="36"/>
  <c r="V2" i="5"/>
  <c r="W4" i="5"/>
  <c r="V4" i="5"/>
  <c r="U4" i="36"/>
  <c r="U3" i="36"/>
  <c r="V3" i="5"/>
  <c r="W3" i="5"/>
  <c r="F58" i="35"/>
  <c r="C67" i="35"/>
  <c r="Q103" i="7"/>
  <c r="Q103" i="36" s="1"/>
  <c r="Q104" i="7"/>
  <c r="Q104" i="36" s="1"/>
  <c r="Q105" i="7"/>
  <c r="Q105" i="36" s="1"/>
  <c r="Q106" i="7"/>
  <c r="Q106" i="36" s="1"/>
  <c r="Q107" i="7"/>
  <c r="Q107" i="36" s="1"/>
  <c r="W107" i="7" l="1"/>
  <c r="U90" i="7"/>
  <c r="C175" i="35"/>
  <c r="AE90" i="7"/>
  <c r="R175" i="35"/>
  <c r="Z90" i="7"/>
  <c r="W90" i="36"/>
  <c r="W107" i="36" s="1"/>
  <c r="AA104" i="7"/>
  <c r="W3" i="36"/>
  <c r="Z3" i="5"/>
  <c r="W4" i="36"/>
  <c r="Z4" i="5"/>
  <c r="Z37" i="7"/>
  <c r="W103" i="7"/>
  <c r="W101" i="5"/>
  <c r="W37" i="36"/>
  <c r="W6" i="36"/>
  <c r="Z6" i="5"/>
  <c r="U115" i="36"/>
  <c r="U117" i="36" s="1"/>
  <c r="V6" i="36"/>
  <c r="X6" i="36" s="1"/>
  <c r="X6" i="5"/>
  <c r="V3" i="36"/>
  <c r="X3" i="36" s="1"/>
  <c r="X3" i="5"/>
  <c r="W2" i="36"/>
  <c r="W103" i="5"/>
  <c r="X2" i="5"/>
  <c r="V103" i="5"/>
  <c r="X103" i="5" s="1"/>
  <c r="V2" i="36"/>
  <c r="X2" i="36" s="1"/>
  <c r="X4" i="5"/>
  <c r="V4" i="36"/>
  <c r="X4" i="36" s="1"/>
  <c r="F67" i="35"/>
  <c r="Q108" i="7"/>
  <c r="Q108" i="36" s="1"/>
  <c r="J58" i="35"/>
  <c r="J67" i="35" s="1"/>
  <c r="N58" i="35"/>
  <c r="L85" i="35"/>
  <c r="M85" i="35" s="1"/>
  <c r="L94" i="35"/>
  <c r="M94" i="35" s="1"/>
  <c r="L98" i="35"/>
  <c r="M98" i="35" s="1"/>
  <c r="L93" i="35"/>
  <c r="M93" i="35" s="1"/>
  <c r="L103" i="35"/>
  <c r="M103" i="35" s="1"/>
  <c r="K77" i="35"/>
  <c r="L25" i="35"/>
  <c r="L24" i="35"/>
  <c r="L21" i="35"/>
  <c r="L19" i="35"/>
  <c r="L17" i="35"/>
  <c r="L14" i="35"/>
  <c r="K14" i="35"/>
  <c r="I19" i="37"/>
  <c r="J2" i="37"/>
  <c r="J13" i="37"/>
  <c r="M18" i="33"/>
  <c r="M13" i="33"/>
  <c r="AE107" i="7" l="1"/>
  <c r="AE104" i="7"/>
  <c r="AE37" i="7" s="1"/>
  <c r="AE103" i="7" s="1"/>
  <c r="AE108" i="7" s="1"/>
  <c r="W108" i="7"/>
  <c r="W103" i="36"/>
  <c r="AA37" i="7"/>
  <c r="AA101" i="5" s="1"/>
  <c r="AA90" i="36"/>
  <c r="AF90" i="36" s="1"/>
  <c r="AE90" i="36"/>
  <c r="AA107" i="7"/>
  <c r="Z101" i="5"/>
  <c r="W101" i="36"/>
  <c r="W104" i="5"/>
  <c r="W106" i="5"/>
  <c r="J19" i="37"/>
  <c r="U90" i="36"/>
  <c r="U107" i="36" s="1"/>
  <c r="V90" i="7"/>
  <c r="U104" i="7"/>
  <c r="U107" i="7"/>
  <c r="P58" i="35"/>
  <c r="P67" i="35" s="1"/>
  <c r="P176" i="35" s="1"/>
  <c r="N67" i="35"/>
  <c r="M8" i="33"/>
  <c r="M20" i="33"/>
  <c r="J35" i="32"/>
  <c r="AE103" i="36" l="1"/>
  <c r="W108" i="5"/>
  <c r="W104" i="36"/>
  <c r="W108" i="36" s="1"/>
  <c r="W111" i="36" s="1"/>
  <c r="AA37" i="36"/>
  <c r="AA103" i="7"/>
  <c r="AF107" i="36"/>
  <c r="AA107" i="36"/>
  <c r="AE107" i="36"/>
  <c r="AA101" i="36"/>
  <c r="AA106" i="5"/>
  <c r="AA104" i="5"/>
  <c r="AA104" i="36" s="1"/>
  <c r="W106" i="36"/>
  <c r="X90" i="7"/>
  <c r="V107" i="7"/>
  <c r="X107" i="7" s="1"/>
  <c r="V104" i="7"/>
  <c r="X104" i="7" s="1"/>
  <c r="V90" i="36"/>
  <c r="U37" i="7"/>
  <c r="S116" i="36"/>
  <c r="S117" i="36" s="1"/>
  <c r="R107" i="7"/>
  <c r="R107" i="36" s="1"/>
  <c r="R90" i="36"/>
  <c r="M25" i="33"/>
  <c r="I27" i="32"/>
  <c r="I23" i="32"/>
  <c r="I25" i="32"/>
  <c r="I26" i="32"/>
  <c r="I22" i="32"/>
  <c r="I21" i="32"/>
  <c r="I15" i="32"/>
  <c r="I16" i="32"/>
  <c r="I17" i="32"/>
  <c r="I18" i="32"/>
  <c r="I14" i="32"/>
  <c r="I13" i="32"/>
  <c r="I7" i="32"/>
  <c r="I8" i="32"/>
  <c r="I9" i="32"/>
  <c r="I10" i="32"/>
  <c r="I11" i="32"/>
  <c r="I2" i="32"/>
  <c r="O102" i="36"/>
  <c r="P102" i="36"/>
  <c r="O109" i="36"/>
  <c r="P109" i="36"/>
  <c r="O110" i="36"/>
  <c r="P110" i="36"/>
  <c r="O3" i="36"/>
  <c r="O4" i="36"/>
  <c r="O6" i="36"/>
  <c r="O7" i="36"/>
  <c r="O9" i="36"/>
  <c r="O10" i="36"/>
  <c r="O12" i="36"/>
  <c r="O13" i="36"/>
  <c r="P13" i="36"/>
  <c r="O14" i="36"/>
  <c r="P14" i="36"/>
  <c r="O15" i="36"/>
  <c r="P15" i="36"/>
  <c r="O16" i="36"/>
  <c r="P16" i="36"/>
  <c r="O17" i="36"/>
  <c r="P17" i="36"/>
  <c r="O18" i="36"/>
  <c r="O19" i="36"/>
  <c r="P19" i="36"/>
  <c r="O20" i="36"/>
  <c r="P20" i="36"/>
  <c r="O21" i="36"/>
  <c r="P21" i="36"/>
  <c r="O22" i="36"/>
  <c r="P22" i="36"/>
  <c r="O24" i="36"/>
  <c r="P24" i="36"/>
  <c r="O25" i="36"/>
  <c r="P25" i="36"/>
  <c r="O26" i="36"/>
  <c r="P26" i="36"/>
  <c r="O27" i="36"/>
  <c r="O28" i="36"/>
  <c r="P28" i="36"/>
  <c r="O29" i="36"/>
  <c r="P29" i="36"/>
  <c r="O30" i="36"/>
  <c r="P30" i="36"/>
  <c r="O31" i="36"/>
  <c r="P31" i="36"/>
  <c r="O32" i="36"/>
  <c r="P32" i="36"/>
  <c r="O33" i="36"/>
  <c r="P33" i="36"/>
  <c r="O35" i="36"/>
  <c r="P35" i="36"/>
  <c r="O37" i="36"/>
  <c r="P37" i="36"/>
  <c r="O38" i="36"/>
  <c r="P38" i="36"/>
  <c r="O39" i="36"/>
  <c r="P39" i="36"/>
  <c r="O40" i="36"/>
  <c r="P40" i="36"/>
  <c r="O41" i="36"/>
  <c r="P41" i="36"/>
  <c r="O42" i="36"/>
  <c r="P42" i="36"/>
  <c r="O43" i="36"/>
  <c r="P43" i="36"/>
  <c r="O44" i="36"/>
  <c r="P44" i="36"/>
  <c r="O45" i="36"/>
  <c r="P45" i="36"/>
  <c r="O46" i="36"/>
  <c r="P46" i="36"/>
  <c r="O48" i="36"/>
  <c r="P48" i="36"/>
  <c r="O49" i="36"/>
  <c r="P49" i="36"/>
  <c r="O50" i="36"/>
  <c r="P50" i="36"/>
  <c r="O51" i="36"/>
  <c r="P51" i="36"/>
  <c r="O52" i="36"/>
  <c r="P52" i="36"/>
  <c r="O53" i="36"/>
  <c r="O54" i="36"/>
  <c r="P54" i="36"/>
  <c r="O55" i="36"/>
  <c r="P55" i="36"/>
  <c r="O56" i="36"/>
  <c r="P56" i="36"/>
  <c r="O57" i="36"/>
  <c r="P57" i="36"/>
  <c r="O58" i="36"/>
  <c r="P58" i="36"/>
  <c r="O59" i="36"/>
  <c r="P59" i="36"/>
  <c r="O60" i="36"/>
  <c r="P60" i="36"/>
  <c r="O61" i="36"/>
  <c r="P61" i="36"/>
  <c r="O64" i="36"/>
  <c r="P64" i="36"/>
  <c r="O65" i="36"/>
  <c r="P65" i="36"/>
  <c r="O66" i="36"/>
  <c r="P66" i="36"/>
  <c r="O67" i="36"/>
  <c r="P67" i="36"/>
  <c r="O68" i="36"/>
  <c r="P68" i="36"/>
  <c r="O69" i="36"/>
  <c r="P69" i="36"/>
  <c r="O70" i="36"/>
  <c r="P70" i="36"/>
  <c r="O71" i="36"/>
  <c r="P71" i="36"/>
  <c r="O72" i="36"/>
  <c r="P72" i="36"/>
  <c r="O73" i="36"/>
  <c r="P73" i="36"/>
  <c r="O74" i="36"/>
  <c r="P74" i="36"/>
  <c r="O76" i="36"/>
  <c r="P76" i="36"/>
  <c r="O77" i="36"/>
  <c r="P77" i="36"/>
  <c r="O78" i="36"/>
  <c r="P78" i="36"/>
  <c r="O79" i="36"/>
  <c r="P79" i="36"/>
  <c r="O80" i="36"/>
  <c r="P80" i="36"/>
  <c r="O81" i="36"/>
  <c r="P81" i="36"/>
  <c r="O82" i="36"/>
  <c r="P82" i="36"/>
  <c r="O83" i="36"/>
  <c r="P83" i="36"/>
  <c r="O84" i="36"/>
  <c r="P84" i="36"/>
  <c r="O85" i="36"/>
  <c r="P85" i="36"/>
  <c r="O86" i="36"/>
  <c r="P86" i="36"/>
  <c r="O87" i="36"/>
  <c r="P87" i="36"/>
  <c r="O88" i="36"/>
  <c r="P88" i="36"/>
  <c r="O89" i="36"/>
  <c r="P89" i="36"/>
  <c r="O90" i="36"/>
  <c r="P90" i="36"/>
  <c r="O91" i="36"/>
  <c r="P91" i="36"/>
  <c r="O92" i="36"/>
  <c r="P92" i="36"/>
  <c r="O93" i="36"/>
  <c r="P93" i="36"/>
  <c r="O94" i="36"/>
  <c r="P94" i="36"/>
  <c r="O95" i="36"/>
  <c r="P95" i="36"/>
  <c r="O96" i="36"/>
  <c r="P96" i="36"/>
  <c r="O98" i="36"/>
  <c r="P98" i="36"/>
  <c r="O100" i="36"/>
  <c r="P100" i="36"/>
  <c r="O101" i="36"/>
  <c r="P101" i="36"/>
  <c r="O2" i="36"/>
  <c r="P27" i="5"/>
  <c r="P27" i="36" s="1"/>
  <c r="P107" i="5"/>
  <c r="P106" i="5"/>
  <c r="P105" i="5"/>
  <c r="P104" i="5"/>
  <c r="O107" i="5"/>
  <c r="O106" i="5"/>
  <c r="O105" i="5"/>
  <c r="O104" i="5"/>
  <c r="O103" i="5"/>
  <c r="O18" i="2"/>
  <c r="P18" i="36" s="1"/>
  <c r="O107" i="2"/>
  <c r="O106" i="2"/>
  <c r="O105" i="2"/>
  <c r="O104" i="2"/>
  <c r="N107" i="2"/>
  <c r="N106" i="2"/>
  <c r="N105" i="2"/>
  <c r="N104" i="2"/>
  <c r="N103" i="2"/>
  <c r="P107" i="7"/>
  <c r="O107" i="7"/>
  <c r="P106" i="7"/>
  <c r="O106" i="7"/>
  <c r="P105" i="7"/>
  <c r="O105" i="7"/>
  <c r="P104" i="7"/>
  <c r="O104" i="7"/>
  <c r="P103" i="7"/>
  <c r="O103" i="7"/>
  <c r="P107" i="1"/>
  <c r="O107" i="1"/>
  <c r="P106" i="1"/>
  <c r="O106" i="1"/>
  <c r="P105" i="1"/>
  <c r="O105" i="1"/>
  <c r="P104" i="1"/>
  <c r="O104" i="1"/>
  <c r="P103" i="1"/>
  <c r="O103" i="1"/>
  <c r="P107" i="3"/>
  <c r="P106" i="3"/>
  <c r="P103" i="3"/>
  <c r="O107" i="3"/>
  <c r="O106" i="3"/>
  <c r="O105" i="3"/>
  <c r="O104" i="3"/>
  <c r="O103" i="3"/>
  <c r="P53" i="3"/>
  <c r="P104" i="3" s="1"/>
  <c r="AA108" i="7" l="1"/>
  <c r="AA103" i="36"/>
  <c r="AF101" i="36"/>
  <c r="AF106" i="36" s="1"/>
  <c r="AF37" i="36"/>
  <c r="AF108" i="36"/>
  <c r="AF111" i="36" s="1"/>
  <c r="AE37" i="36"/>
  <c r="AE101" i="5"/>
  <c r="AA106" i="36"/>
  <c r="AA108" i="5"/>
  <c r="O103" i="2"/>
  <c r="O108" i="2" s="1"/>
  <c r="O108" i="3"/>
  <c r="V107" i="36"/>
  <c r="X107" i="36" s="1"/>
  <c r="X90" i="36"/>
  <c r="V37" i="7"/>
  <c r="U103" i="7"/>
  <c r="U101" i="5"/>
  <c r="U37" i="36"/>
  <c r="O104" i="36"/>
  <c r="O106" i="36"/>
  <c r="P108" i="1"/>
  <c r="O103" i="36"/>
  <c r="O107" i="36"/>
  <c r="P107" i="36"/>
  <c r="O105" i="36"/>
  <c r="P106" i="36"/>
  <c r="P104" i="36"/>
  <c r="P108" i="3"/>
  <c r="P105" i="3"/>
  <c r="P105" i="36" s="1"/>
  <c r="P53" i="36"/>
  <c r="P103" i="5"/>
  <c r="O108" i="5"/>
  <c r="N108" i="2"/>
  <c r="P108" i="7"/>
  <c r="O108" i="7"/>
  <c r="O108" i="1"/>
  <c r="L44" i="3"/>
  <c r="L52" i="3"/>
  <c r="L39" i="3"/>
  <c r="L69" i="3"/>
  <c r="N69" i="3" s="1"/>
  <c r="P103" i="36" l="1"/>
  <c r="U108" i="7"/>
  <c r="U103" i="36"/>
  <c r="AE104" i="5"/>
  <c r="AE106" i="5"/>
  <c r="AA108" i="36"/>
  <c r="AA111" i="36" s="1"/>
  <c r="U101" i="36"/>
  <c r="U106" i="5"/>
  <c r="U104" i="5"/>
  <c r="X37" i="7"/>
  <c r="V101" i="5"/>
  <c r="V37" i="36"/>
  <c r="V103" i="7"/>
  <c r="V103" i="36" s="1"/>
  <c r="P108" i="5"/>
  <c r="P108" i="36" s="1"/>
  <c r="O108" i="36"/>
  <c r="L69" i="2"/>
  <c r="L72" i="2" s="1"/>
  <c r="L69" i="5"/>
  <c r="N69" i="5" s="1"/>
  <c r="L19" i="5"/>
  <c r="L19" i="36" s="1"/>
  <c r="L4" i="5"/>
  <c r="L4" i="36" s="1"/>
  <c r="L27" i="5"/>
  <c r="U108" i="5" l="1"/>
  <c r="U104" i="36"/>
  <c r="U108" i="36" s="1"/>
  <c r="U111" i="36" s="1"/>
  <c r="AE108" i="5"/>
  <c r="AE104" i="36"/>
  <c r="X37" i="36"/>
  <c r="X101" i="5"/>
  <c r="V101" i="36"/>
  <c r="V106" i="5"/>
  <c r="X106" i="5" s="1"/>
  <c r="V104" i="5"/>
  <c r="V104" i="36" s="1"/>
  <c r="U106" i="36"/>
  <c r="X103" i="7"/>
  <c r="X103" i="36" s="1"/>
  <c r="V108" i="7"/>
  <c r="L44" i="7"/>
  <c r="V106" i="36" l="1"/>
  <c r="X106" i="36" s="1"/>
  <c r="X101" i="36"/>
  <c r="X104" i="5"/>
  <c r="X104" i="36" s="1"/>
  <c r="V108" i="5"/>
  <c r="X108" i="5" s="1"/>
  <c r="L39" i="7"/>
  <c r="L52" i="7"/>
  <c r="V108" i="36" l="1"/>
  <c r="V111" i="36" l="1"/>
  <c r="X108" i="36"/>
  <c r="L52" i="5" l="1"/>
  <c r="L39" i="5"/>
  <c r="L39" i="2"/>
  <c r="L44" i="2"/>
  <c r="L44" i="5"/>
  <c r="L85" i="5"/>
  <c r="L84" i="5"/>
  <c r="L81" i="5"/>
  <c r="L72" i="5"/>
  <c r="N72" i="5" s="1"/>
  <c r="L50" i="5"/>
  <c r="I44" i="5"/>
  <c r="I55" i="5"/>
  <c r="I54" i="5"/>
  <c r="I53" i="5"/>
  <c r="I52" i="5"/>
  <c r="I51" i="5"/>
  <c r="I50" i="5"/>
  <c r="I49" i="5"/>
  <c r="I48" i="5"/>
  <c r="I46" i="5"/>
  <c r="I45" i="5"/>
  <c r="I41" i="5"/>
  <c r="I40" i="5"/>
  <c r="I39" i="5"/>
  <c r="I27" i="5"/>
  <c r="I25" i="5"/>
  <c r="I15" i="5"/>
  <c r="I14" i="5"/>
  <c r="I13" i="5"/>
  <c r="I12" i="5"/>
  <c r="L72" i="3"/>
  <c r="N72" i="3" s="1"/>
  <c r="L52" i="2" l="1"/>
  <c r="M52" i="2" s="1"/>
  <c r="I55" i="3"/>
  <c r="M55" i="3" s="1"/>
  <c r="I54" i="3"/>
  <c r="M54" i="3" s="1"/>
  <c r="I53" i="3"/>
  <c r="M53" i="3" s="1"/>
  <c r="I52" i="3"/>
  <c r="I50" i="3"/>
  <c r="M50" i="3" s="1"/>
  <c r="I48" i="3"/>
  <c r="M48" i="3" s="1"/>
  <c r="I46" i="3"/>
  <c r="M46" i="3" s="1"/>
  <c r="I45" i="3"/>
  <c r="M45" i="3" s="1"/>
  <c r="I44" i="3"/>
  <c r="M44" i="3" s="1"/>
  <c r="I41" i="3"/>
  <c r="M41" i="3" s="1"/>
  <c r="I40" i="3"/>
  <c r="M40" i="3" s="1"/>
  <c r="I39" i="3"/>
  <c r="I55" i="7"/>
  <c r="M55" i="7" s="1"/>
  <c r="I54" i="7"/>
  <c r="M54" i="7" s="1"/>
  <c r="I53" i="7"/>
  <c r="M53" i="7" s="1"/>
  <c r="I52" i="7"/>
  <c r="M52" i="7" s="1"/>
  <c r="I51" i="7"/>
  <c r="M51" i="7" s="1"/>
  <c r="I48" i="7"/>
  <c r="M48" i="7" s="1"/>
  <c r="I46" i="7"/>
  <c r="M46" i="7" s="1"/>
  <c r="I45" i="7"/>
  <c r="M45" i="7" s="1"/>
  <c r="I44" i="7"/>
  <c r="M44" i="7" s="1"/>
  <c r="I40" i="7"/>
  <c r="M40" i="7" s="1"/>
  <c r="I39" i="7"/>
  <c r="M54" i="1"/>
  <c r="M53" i="1"/>
  <c r="M48" i="1"/>
  <c r="M46" i="1"/>
  <c r="M45" i="1"/>
  <c r="M54" i="2"/>
  <c r="M48" i="2"/>
  <c r="M44" i="2"/>
  <c r="M40" i="2"/>
  <c r="M39" i="2"/>
  <c r="M55" i="1"/>
  <c r="M44" i="1"/>
  <c r="M41" i="2"/>
  <c r="M42" i="2"/>
  <c r="M43" i="2"/>
  <c r="M45" i="2"/>
  <c r="M46" i="2"/>
  <c r="M49" i="2"/>
  <c r="M50" i="2"/>
  <c r="M51" i="2"/>
  <c r="M53" i="2"/>
  <c r="M55" i="2"/>
  <c r="M50" i="7"/>
  <c r="M27" i="5"/>
  <c r="M39" i="5"/>
  <c r="M40" i="5"/>
  <c r="M44" i="5"/>
  <c r="M45" i="5"/>
  <c r="M46" i="5"/>
  <c r="M48" i="5"/>
  <c r="M49" i="5"/>
  <c r="M50" i="5"/>
  <c r="M52" i="5"/>
  <c r="M53" i="5"/>
  <c r="M55" i="5"/>
  <c r="M40" i="1"/>
  <c r="M41" i="1"/>
  <c r="M42" i="1"/>
  <c r="M43" i="1"/>
  <c r="M49" i="1"/>
  <c r="M50" i="1"/>
  <c r="M51" i="1"/>
  <c r="M52" i="1"/>
  <c r="I3" i="2"/>
  <c r="M3" i="2" s="1"/>
  <c r="I4" i="2"/>
  <c r="M4" i="2" s="1"/>
  <c r="I6" i="2"/>
  <c r="M6" i="2" s="1"/>
  <c r="I7" i="2"/>
  <c r="M7" i="2" s="1"/>
  <c r="I9" i="2"/>
  <c r="M9" i="2" s="1"/>
  <c r="I10" i="2"/>
  <c r="M10" i="2" s="1"/>
  <c r="I12" i="2"/>
  <c r="M12" i="2" s="1"/>
  <c r="I13" i="2"/>
  <c r="M13" i="2" s="1"/>
  <c r="I14" i="2"/>
  <c r="M14" i="2" s="1"/>
  <c r="I15" i="2"/>
  <c r="M15" i="2" s="1"/>
  <c r="I16" i="2"/>
  <c r="M16" i="2" s="1"/>
  <c r="I17" i="2"/>
  <c r="M17" i="2" s="1"/>
  <c r="I18" i="2"/>
  <c r="M18" i="2" s="1"/>
  <c r="I19" i="2"/>
  <c r="M19" i="2" s="1"/>
  <c r="I20" i="2"/>
  <c r="M20" i="2" s="1"/>
  <c r="I21" i="2"/>
  <c r="M21" i="2" s="1"/>
  <c r="I22" i="2"/>
  <c r="M22" i="2" s="1"/>
  <c r="I25" i="2"/>
  <c r="M25" i="2" s="1"/>
  <c r="I27" i="2"/>
  <c r="M27" i="2" s="1"/>
  <c r="I28" i="2"/>
  <c r="M28" i="2" s="1"/>
  <c r="I29" i="2"/>
  <c r="M29" i="2" s="1"/>
  <c r="I30" i="2"/>
  <c r="M30" i="2" s="1"/>
  <c r="I31" i="2"/>
  <c r="M31" i="2" s="1"/>
  <c r="I32" i="2"/>
  <c r="M32" i="2" s="1"/>
  <c r="I33" i="2"/>
  <c r="M33" i="2" s="1"/>
  <c r="I35" i="2"/>
  <c r="M35" i="2" s="1"/>
  <c r="I37" i="2"/>
  <c r="I38" i="2"/>
  <c r="M38" i="2" s="1"/>
  <c r="I56" i="2"/>
  <c r="M56" i="2" s="1"/>
  <c r="I57" i="2"/>
  <c r="M57" i="2" s="1"/>
  <c r="I58" i="2"/>
  <c r="M58" i="2" s="1"/>
  <c r="I59" i="2"/>
  <c r="M59" i="2" s="1"/>
  <c r="I60" i="2"/>
  <c r="M60" i="2" s="1"/>
  <c r="I61" i="2"/>
  <c r="M61" i="2" s="1"/>
  <c r="I64" i="2"/>
  <c r="M64" i="2" s="1"/>
  <c r="I65" i="2"/>
  <c r="M65" i="2" s="1"/>
  <c r="I66" i="2"/>
  <c r="M66" i="2" s="1"/>
  <c r="I67" i="2"/>
  <c r="M67" i="2" s="1"/>
  <c r="I68" i="2"/>
  <c r="M68" i="2" s="1"/>
  <c r="I69" i="2"/>
  <c r="M69" i="2" s="1"/>
  <c r="I70" i="2"/>
  <c r="M70" i="2" s="1"/>
  <c r="I71" i="2"/>
  <c r="M71" i="2" s="1"/>
  <c r="I72" i="2"/>
  <c r="I73" i="2"/>
  <c r="M73" i="2" s="1"/>
  <c r="I74" i="2"/>
  <c r="M74" i="2" s="1"/>
  <c r="I76" i="2"/>
  <c r="M76" i="2" s="1"/>
  <c r="I77" i="2"/>
  <c r="M77" i="2" s="1"/>
  <c r="I78" i="2"/>
  <c r="M78" i="2" s="1"/>
  <c r="I79" i="2"/>
  <c r="M79" i="2" s="1"/>
  <c r="I80" i="2"/>
  <c r="M80" i="2" s="1"/>
  <c r="I81" i="2"/>
  <c r="M81" i="2" s="1"/>
  <c r="I82" i="2"/>
  <c r="M82" i="2" s="1"/>
  <c r="I83" i="2"/>
  <c r="M83" i="2" s="1"/>
  <c r="I84" i="2"/>
  <c r="M84" i="2" s="1"/>
  <c r="I85" i="2"/>
  <c r="M85" i="2" s="1"/>
  <c r="I86" i="2"/>
  <c r="M86" i="2" s="1"/>
  <c r="I87" i="2"/>
  <c r="M87" i="2" s="1"/>
  <c r="I88" i="2"/>
  <c r="M88" i="2" s="1"/>
  <c r="I89" i="2"/>
  <c r="M89" i="2" s="1"/>
  <c r="I90" i="2"/>
  <c r="M90" i="2" s="1"/>
  <c r="I91" i="2"/>
  <c r="M91" i="2" s="1"/>
  <c r="I92" i="2"/>
  <c r="M92" i="2" s="1"/>
  <c r="I93" i="2"/>
  <c r="I94" i="2"/>
  <c r="M94" i="2" s="1"/>
  <c r="I95" i="2"/>
  <c r="M95" i="2" s="1"/>
  <c r="I96" i="2"/>
  <c r="M96" i="2" s="1"/>
  <c r="I98" i="2"/>
  <c r="M98" i="2" s="1"/>
  <c r="I100" i="2"/>
  <c r="M100" i="2" s="1"/>
  <c r="I101" i="2"/>
  <c r="M101" i="2" s="1"/>
  <c r="I102" i="2"/>
  <c r="M102" i="2" s="1"/>
  <c r="I3" i="3"/>
  <c r="M3" i="3" s="1"/>
  <c r="I4" i="3"/>
  <c r="M4" i="3" s="1"/>
  <c r="I6" i="3"/>
  <c r="M6" i="3" s="1"/>
  <c r="I7" i="3"/>
  <c r="M7" i="3" s="1"/>
  <c r="I9" i="3"/>
  <c r="M9" i="3" s="1"/>
  <c r="I10" i="3"/>
  <c r="M10" i="3" s="1"/>
  <c r="I12" i="3"/>
  <c r="M12" i="3" s="1"/>
  <c r="I13" i="3"/>
  <c r="M13" i="3" s="1"/>
  <c r="I14" i="3"/>
  <c r="M14" i="3" s="1"/>
  <c r="I15" i="3"/>
  <c r="M15" i="3" s="1"/>
  <c r="I16" i="3"/>
  <c r="M16" i="3" s="1"/>
  <c r="I17" i="3"/>
  <c r="M17" i="3" s="1"/>
  <c r="I18" i="3"/>
  <c r="I19" i="3"/>
  <c r="M19" i="3" s="1"/>
  <c r="I20" i="3"/>
  <c r="M20" i="3" s="1"/>
  <c r="I21" i="3"/>
  <c r="M21" i="3" s="1"/>
  <c r="I22" i="3"/>
  <c r="I24" i="3"/>
  <c r="M24" i="3" s="1"/>
  <c r="I25" i="3"/>
  <c r="M25" i="3" s="1"/>
  <c r="I27" i="3"/>
  <c r="M27" i="3" s="1"/>
  <c r="I28" i="3"/>
  <c r="M28" i="3" s="1"/>
  <c r="I29" i="3"/>
  <c r="M29" i="3" s="1"/>
  <c r="I30" i="3"/>
  <c r="M30" i="3" s="1"/>
  <c r="I31" i="3"/>
  <c r="M31" i="3" s="1"/>
  <c r="I32" i="3"/>
  <c r="M32" i="3" s="1"/>
  <c r="I33" i="3"/>
  <c r="M33" i="3" s="1"/>
  <c r="I35" i="3"/>
  <c r="M35" i="3" s="1"/>
  <c r="I37" i="3"/>
  <c r="I38" i="3"/>
  <c r="M38" i="3" s="1"/>
  <c r="I42" i="3"/>
  <c r="M42" i="3" s="1"/>
  <c r="I43" i="3"/>
  <c r="M43" i="3" s="1"/>
  <c r="I49" i="3"/>
  <c r="M49" i="3" s="1"/>
  <c r="I51" i="3"/>
  <c r="M51" i="3" s="1"/>
  <c r="I56" i="3"/>
  <c r="M56" i="3" s="1"/>
  <c r="I57" i="3"/>
  <c r="M57" i="3" s="1"/>
  <c r="I58" i="3"/>
  <c r="M58" i="3" s="1"/>
  <c r="I59" i="3"/>
  <c r="M59" i="3" s="1"/>
  <c r="I60" i="3"/>
  <c r="M60" i="3" s="1"/>
  <c r="I66" i="3"/>
  <c r="M66" i="3" s="1"/>
  <c r="I67" i="3"/>
  <c r="M67" i="3" s="1"/>
  <c r="I68" i="3"/>
  <c r="M68" i="3" s="1"/>
  <c r="I69" i="3"/>
  <c r="M69" i="3" s="1"/>
  <c r="I71" i="3"/>
  <c r="M71" i="3" s="1"/>
  <c r="I72" i="3"/>
  <c r="M72" i="3" s="1"/>
  <c r="I73" i="3"/>
  <c r="M73" i="3" s="1"/>
  <c r="I74" i="3"/>
  <c r="M74" i="3" s="1"/>
  <c r="I76" i="3"/>
  <c r="M76" i="3" s="1"/>
  <c r="I77" i="3"/>
  <c r="M77" i="3" s="1"/>
  <c r="I78" i="3"/>
  <c r="M78" i="3" s="1"/>
  <c r="I79" i="3"/>
  <c r="M79" i="3" s="1"/>
  <c r="I80" i="3"/>
  <c r="M80" i="3" s="1"/>
  <c r="I81" i="3"/>
  <c r="M81" i="3" s="1"/>
  <c r="I82" i="3"/>
  <c r="M82" i="3" s="1"/>
  <c r="I83" i="3"/>
  <c r="M83" i="3" s="1"/>
  <c r="I84" i="3"/>
  <c r="M84" i="3" s="1"/>
  <c r="I85" i="3"/>
  <c r="M85" i="3" s="1"/>
  <c r="I86" i="3"/>
  <c r="M86" i="3" s="1"/>
  <c r="I87" i="3"/>
  <c r="M87" i="3" s="1"/>
  <c r="I88" i="3"/>
  <c r="M88" i="3" s="1"/>
  <c r="I89" i="3"/>
  <c r="M89" i="3" s="1"/>
  <c r="I90" i="3"/>
  <c r="M90" i="3" s="1"/>
  <c r="I91" i="3"/>
  <c r="M91" i="3" s="1"/>
  <c r="I92" i="3"/>
  <c r="M92" i="3" s="1"/>
  <c r="I93" i="3"/>
  <c r="I94" i="3"/>
  <c r="M94" i="3" s="1"/>
  <c r="I95" i="3"/>
  <c r="M95" i="3" s="1"/>
  <c r="I96" i="3"/>
  <c r="M96" i="3" s="1"/>
  <c r="I98" i="3"/>
  <c r="M98" i="3" s="1"/>
  <c r="I100" i="3"/>
  <c r="M100" i="3" s="1"/>
  <c r="I101" i="3"/>
  <c r="M101" i="3" s="1"/>
  <c r="I102" i="3"/>
  <c r="M102" i="3" s="1"/>
  <c r="I3" i="7"/>
  <c r="M3" i="7" s="1"/>
  <c r="I6" i="7"/>
  <c r="M6" i="7" s="1"/>
  <c r="I7" i="7"/>
  <c r="M7" i="7" s="1"/>
  <c r="I9" i="7"/>
  <c r="M9" i="7" s="1"/>
  <c r="I10" i="7"/>
  <c r="M10" i="7" s="1"/>
  <c r="I12" i="7"/>
  <c r="M12" i="7" s="1"/>
  <c r="I13" i="7"/>
  <c r="M13" i="7" s="1"/>
  <c r="I14" i="7"/>
  <c r="M14" i="7" s="1"/>
  <c r="I15" i="7"/>
  <c r="M15" i="7" s="1"/>
  <c r="I16" i="7"/>
  <c r="M16" i="7" s="1"/>
  <c r="I17" i="7"/>
  <c r="M17" i="7" s="1"/>
  <c r="I18" i="7"/>
  <c r="M18" i="7" s="1"/>
  <c r="I19" i="7"/>
  <c r="M19" i="7" s="1"/>
  <c r="I20" i="7"/>
  <c r="M20" i="7" s="1"/>
  <c r="I21" i="7"/>
  <c r="M21" i="7" s="1"/>
  <c r="I22" i="7"/>
  <c r="M22" i="7" s="1"/>
  <c r="I24" i="7"/>
  <c r="M24" i="7" s="1"/>
  <c r="I25" i="7"/>
  <c r="M25" i="7" s="1"/>
  <c r="I27" i="7"/>
  <c r="M27" i="7" s="1"/>
  <c r="I28" i="7"/>
  <c r="M28" i="7" s="1"/>
  <c r="I29" i="7"/>
  <c r="M29" i="7" s="1"/>
  <c r="I30" i="7"/>
  <c r="M30" i="7" s="1"/>
  <c r="I31" i="7"/>
  <c r="M31" i="7" s="1"/>
  <c r="I32" i="7"/>
  <c r="M32" i="7" s="1"/>
  <c r="I33" i="7"/>
  <c r="M33" i="7" s="1"/>
  <c r="I35" i="7"/>
  <c r="M35" i="7" s="1"/>
  <c r="I37" i="7"/>
  <c r="I38" i="7"/>
  <c r="M38" i="7" s="1"/>
  <c r="I41" i="7"/>
  <c r="M41" i="7" s="1"/>
  <c r="I42" i="7"/>
  <c r="M42" i="7" s="1"/>
  <c r="I43" i="7"/>
  <c r="M43" i="7" s="1"/>
  <c r="I49" i="7"/>
  <c r="M49" i="7" s="1"/>
  <c r="I56" i="7"/>
  <c r="M56" i="7" s="1"/>
  <c r="I57" i="7"/>
  <c r="M57" i="7" s="1"/>
  <c r="I58" i="7"/>
  <c r="M58" i="7" s="1"/>
  <c r="I59" i="7"/>
  <c r="M59" i="7" s="1"/>
  <c r="I60" i="7"/>
  <c r="M60" i="7" s="1"/>
  <c r="I61" i="7"/>
  <c r="M61" i="7" s="1"/>
  <c r="I64" i="7"/>
  <c r="M64" i="7" s="1"/>
  <c r="I65" i="7"/>
  <c r="M65" i="7" s="1"/>
  <c r="I66" i="7"/>
  <c r="M66" i="7" s="1"/>
  <c r="I67" i="7"/>
  <c r="M67" i="7" s="1"/>
  <c r="I68" i="7"/>
  <c r="M68" i="7" s="1"/>
  <c r="I69" i="7"/>
  <c r="I70" i="7"/>
  <c r="M70" i="7" s="1"/>
  <c r="I71" i="7"/>
  <c r="M71" i="7" s="1"/>
  <c r="I72" i="7"/>
  <c r="I73" i="7"/>
  <c r="M73" i="7" s="1"/>
  <c r="I74" i="7"/>
  <c r="M74" i="7" s="1"/>
  <c r="I76" i="7"/>
  <c r="M76" i="7" s="1"/>
  <c r="I77" i="7"/>
  <c r="M77" i="7" s="1"/>
  <c r="I78" i="7"/>
  <c r="M78" i="7" s="1"/>
  <c r="I79" i="7"/>
  <c r="M79" i="7" s="1"/>
  <c r="I80" i="7"/>
  <c r="M80" i="7" s="1"/>
  <c r="I81" i="7"/>
  <c r="M81" i="7" s="1"/>
  <c r="I82" i="7"/>
  <c r="M82" i="7" s="1"/>
  <c r="I83" i="7"/>
  <c r="M83" i="7" s="1"/>
  <c r="I84" i="7"/>
  <c r="M84" i="7" s="1"/>
  <c r="I85" i="7"/>
  <c r="M85" i="7" s="1"/>
  <c r="I86" i="7"/>
  <c r="M86" i="7" s="1"/>
  <c r="I87" i="7"/>
  <c r="M87" i="7" s="1"/>
  <c r="I88" i="7"/>
  <c r="M88" i="7" s="1"/>
  <c r="I89" i="7"/>
  <c r="M89" i="7" s="1"/>
  <c r="I90" i="7"/>
  <c r="M90" i="7" s="1"/>
  <c r="I91" i="7"/>
  <c r="M91" i="7" s="1"/>
  <c r="I92" i="7"/>
  <c r="I93" i="7"/>
  <c r="I94" i="7"/>
  <c r="M94" i="7" s="1"/>
  <c r="I95" i="7"/>
  <c r="M95" i="7" s="1"/>
  <c r="I96" i="7"/>
  <c r="M96" i="7" s="1"/>
  <c r="I98" i="7"/>
  <c r="M98" i="7" s="1"/>
  <c r="I100" i="7"/>
  <c r="M100" i="7" s="1"/>
  <c r="I101" i="7"/>
  <c r="M101" i="7" s="1"/>
  <c r="I102" i="7"/>
  <c r="M102" i="7" s="1"/>
  <c r="I3" i="5"/>
  <c r="M3" i="5" s="1"/>
  <c r="I4" i="5"/>
  <c r="M4" i="5" s="1"/>
  <c r="I6" i="5"/>
  <c r="M6" i="5" s="1"/>
  <c r="I7" i="5"/>
  <c r="M7" i="5" s="1"/>
  <c r="I9" i="5"/>
  <c r="M9" i="5" s="1"/>
  <c r="I16" i="5"/>
  <c r="I17" i="5"/>
  <c r="I19" i="5"/>
  <c r="M19" i="5" s="1"/>
  <c r="I20" i="5"/>
  <c r="M20" i="5" s="1"/>
  <c r="I21" i="5"/>
  <c r="M21" i="5" s="1"/>
  <c r="I22" i="5"/>
  <c r="I24" i="5"/>
  <c r="I28" i="5"/>
  <c r="M28" i="5" s="1"/>
  <c r="I29" i="5"/>
  <c r="M29" i="5" s="1"/>
  <c r="I30" i="5"/>
  <c r="M30" i="5" s="1"/>
  <c r="I31" i="5"/>
  <c r="M31" i="5" s="1"/>
  <c r="I32" i="5"/>
  <c r="M32" i="5" s="1"/>
  <c r="I33" i="5"/>
  <c r="M33" i="5" s="1"/>
  <c r="I35" i="5"/>
  <c r="M35" i="5" s="1"/>
  <c r="I37" i="5"/>
  <c r="M37" i="5" s="1"/>
  <c r="I38" i="5"/>
  <c r="M38" i="5" s="1"/>
  <c r="I42" i="5"/>
  <c r="M42" i="5" s="1"/>
  <c r="I43" i="5"/>
  <c r="M43" i="5" s="1"/>
  <c r="I56" i="5"/>
  <c r="M56" i="5" s="1"/>
  <c r="I57" i="5"/>
  <c r="M57" i="5" s="1"/>
  <c r="I58" i="5"/>
  <c r="M58" i="5" s="1"/>
  <c r="I59" i="5"/>
  <c r="M59" i="5" s="1"/>
  <c r="I60" i="5"/>
  <c r="M60" i="5" s="1"/>
  <c r="I61" i="5"/>
  <c r="M61" i="5" s="1"/>
  <c r="I64" i="5"/>
  <c r="M64" i="5" s="1"/>
  <c r="I65" i="5"/>
  <c r="M65" i="5" s="1"/>
  <c r="I66" i="5"/>
  <c r="M66" i="5" s="1"/>
  <c r="I67" i="5"/>
  <c r="M67" i="5" s="1"/>
  <c r="I68" i="5"/>
  <c r="M68" i="5" s="1"/>
  <c r="I69" i="5"/>
  <c r="M69" i="5" s="1"/>
  <c r="I70" i="5"/>
  <c r="M70" i="5" s="1"/>
  <c r="I71" i="5"/>
  <c r="M71" i="5" s="1"/>
  <c r="I72" i="5"/>
  <c r="I73" i="5"/>
  <c r="M73" i="5" s="1"/>
  <c r="I74" i="5"/>
  <c r="M74" i="5" s="1"/>
  <c r="I76" i="5"/>
  <c r="I77" i="5"/>
  <c r="M77" i="5" s="1"/>
  <c r="I78" i="5"/>
  <c r="M78" i="5" s="1"/>
  <c r="I79" i="5"/>
  <c r="M79" i="5" s="1"/>
  <c r="I80" i="5"/>
  <c r="M80" i="5" s="1"/>
  <c r="I81" i="5"/>
  <c r="M81" i="5" s="1"/>
  <c r="I82" i="5"/>
  <c r="I83" i="5"/>
  <c r="M83" i="5" s="1"/>
  <c r="I84" i="5"/>
  <c r="M84" i="5" s="1"/>
  <c r="I85" i="5"/>
  <c r="M85" i="5" s="1"/>
  <c r="I86" i="5"/>
  <c r="M86" i="5" s="1"/>
  <c r="I87" i="5"/>
  <c r="M87" i="5" s="1"/>
  <c r="I88" i="5"/>
  <c r="M88" i="5" s="1"/>
  <c r="I89" i="5"/>
  <c r="M89" i="5" s="1"/>
  <c r="I90" i="5"/>
  <c r="I91" i="5"/>
  <c r="M91" i="5" s="1"/>
  <c r="I92" i="5"/>
  <c r="M92" i="5" s="1"/>
  <c r="I93" i="5"/>
  <c r="I94" i="5"/>
  <c r="I95" i="5"/>
  <c r="M95" i="5" s="1"/>
  <c r="I96" i="5"/>
  <c r="I98" i="5"/>
  <c r="M98" i="5" s="1"/>
  <c r="I100" i="5"/>
  <c r="M100" i="5" s="1"/>
  <c r="I101" i="5"/>
  <c r="I102" i="5"/>
  <c r="M102" i="5" s="1"/>
  <c r="I102" i="36"/>
  <c r="M102" i="36" s="1"/>
  <c r="I3" i="1"/>
  <c r="M3" i="1" s="1"/>
  <c r="I4" i="1"/>
  <c r="M4" i="1" s="1"/>
  <c r="I6" i="1"/>
  <c r="M6" i="1" s="1"/>
  <c r="I7" i="1"/>
  <c r="M7" i="1" s="1"/>
  <c r="I9" i="1"/>
  <c r="M9" i="1" s="1"/>
  <c r="I10" i="1"/>
  <c r="M10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19" i="1"/>
  <c r="M19" i="1" s="1"/>
  <c r="I20" i="1"/>
  <c r="M20" i="1" s="1"/>
  <c r="I21" i="1"/>
  <c r="M21" i="1" s="1"/>
  <c r="I22" i="1"/>
  <c r="M22" i="1" s="1"/>
  <c r="I24" i="1"/>
  <c r="M24" i="1" s="1"/>
  <c r="I25" i="1"/>
  <c r="M25" i="1" s="1"/>
  <c r="I27" i="1"/>
  <c r="M27" i="1" s="1"/>
  <c r="I28" i="1"/>
  <c r="M28" i="1" s="1"/>
  <c r="I29" i="1"/>
  <c r="M29" i="1" s="1"/>
  <c r="I30" i="1"/>
  <c r="M30" i="1" s="1"/>
  <c r="I31" i="1"/>
  <c r="M31" i="1" s="1"/>
  <c r="I32" i="1"/>
  <c r="M32" i="1" s="1"/>
  <c r="I33" i="1"/>
  <c r="M33" i="1" s="1"/>
  <c r="I35" i="1"/>
  <c r="M35" i="1" s="1"/>
  <c r="I37" i="1"/>
  <c r="I38" i="1"/>
  <c r="M38" i="1" s="1"/>
  <c r="I56" i="1"/>
  <c r="M56" i="1" s="1"/>
  <c r="I57" i="1"/>
  <c r="M57" i="1" s="1"/>
  <c r="I58" i="1"/>
  <c r="M58" i="1" s="1"/>
  <c r="I59" i="1"/>
  <c r="M59" i="1" s="1"/>
  <c r="I60" i="1"/>
  <c r="M60" i="1" s="1"/>
  <c r="I61" i="1"/>
  <c r="M61" i="1" s="1"/>
  <c r="I64" i="1"/>
  <c r="M64" i="1" s="1"/>
  <c r="I65" i="1"/>
  <c r="M65" i="1" s="1"/>
  <c r="I66" i="1"/>
  <c r="M66" i="1" s="1"/>
  <c r="I67" i="1"/>
  <c r="M67" i="1" s="1"/>
  <c r="I68" i="1"/>
  <c r="M68" i="1" s="1"/>
  <c r="I69" i="1"/>
  <c r="M69" i="1" s="1"/>
  <c r="I70" i="1"/>
  <c r="M70" i="1" s="1"/>
  <c r="I71" i="1"/>
  <c r="M71" i="1" s="1"/>
  <c r="I72" i="1"/>
  <c r="I73" i="1"/>
  <c r="M73" i="1" s="1"/>
  <c r="I74" i="1"/>
  <c r="M74" i="1" s="1"/>
  <c r="I76" i="1"/>
  <c r="M76" i="1" s="1"/>
  <c r="I77" i="1"/>
  <c r="M77" i="1" s="1"/>
  <c r="I78" i="1"/>
  <c r="M78" i="1" s="1"/>
  <c r="I79" i="1"/>
  <c r="M79" i="1" s="1"/>
  <c r="I80" i="1"/>
  <c r="M80" i="1" s="1"/>
  <c r="I81" i="1"/>
  <c r="M81" i="1" s="1"/>
  <c r="I82" i="1"/>
  <c r="M82" i="1" s="1"/>
  <c r="I83" i="1"/>
  <c r="M83" i="1" s="1"/>
  <c r="I84" i="1"/>
  <c r="M84" i="1" s="1"/>
  <c r="I85" i="1"/>
  <c r="M85" i="1" s="1"/>
  <c r="I86" i="1"/>
  <c r="M86" i="1" s="1"/>
  <c r="I87" i="1"/>
  <c r="M87" i="1" s="1"/>
  <c r="I88" i="1"/>
  <c r="M88" i="1" s="1"/>
  <c r="I89" i="1"/>
  <c r="M89" i="1" s="1"/>
  <c r="I90" i="1"/>
  <c r="M90" i="1" s="1"/>
  <c r="I91" i="1"/>
  <c r="M91" i="1" s="1"/>
  <c r="I92" i="1"/>
  <c r="M92" i="1" s="1"/>
  <c r="I93" i="1"/>
  <c r="M93" i="1" s="1"/>
  <c r="I94" i="1"/>
  <c r="M94" i="1" s="1"/>
  <c r="I95" i="1"/>
  <c r="M95" i="1" s="1"/>
  <c r="I96" i="1"/>
  <c r="M96" i="1" s="1"/>
  <c r="I98" i="1"/>
  <c r="M98" i="1" s="1"/>
  <c r="I100" i="1"/>
  <c r="M100" i="1" s="1"/>
  <c r="I101" i="1"/>
  <c r="M101" i="1" s="1"/>
  <c r="I102" i="1"/>
  <c r="M102" i="1" s="1"/>
  <c r="I2" i="2"/>
  <c r="M2" i="2" s="1"/>
  <c r="I2" i="3"/>
  <c r="M2" i="3" s="1"/>
  <c r="I2" i="7"/>
  <c r="M2" i="7" s="1"/>
  <c r="I2" i="5"/>
  <c r="M2" i="5" s="1"/>
  <c r="I2" i="1"/>
  <c r="M2" i="1" s="1"/>
  <c r="L72" i="1"/>
  <c r="L39" i="1"/>
  <c r="M39" i="1" s="1"/>
  <c r="J103" i="2"/>
  <c r="J104" i="2"/>
  <c r="J105" i="2"/>
  <c r="J106" i="2"/>
  <c r="J107" i="2"/>
  <c r="J103" i="3"/>
  <c r="J104" i="3"/>
  <c r="J105" i="3"/>
  <c r="J106" i="3"/>
  <c r="J107" i="3"/>
  <c r="J103" i="7"/>
  <c r="J104" i="7"/>
  <c r="J105" i="7"/>
  <c r="J106" i="7"/>
  <c r="J107" i="7"/>
  <c r="J103" i="5"/>
  <c r="J104" i="5"/>
  <c r="J105" i="5"/>
  <c r="J106" i="5"/>
  <c r="J107" i="5"/>
  <c r="J103" i="36"/>
  <c r="J104" i="36"/>
  <c r="J105" i="36"/>
  <c r="J106" i="36"/>
  <c r="J107" i="36"/>
  <c r="J103" i="1"/>
  <c r="J104" i="1"/>
  <c r="J105" i="1"/>
  <c r="J106" i="1"/>
  <c r="J107" i="1"/>
  <c r="D105" i="2"/>
  <c r="E105" i="2"/>
  <c r="G105" i="2"/>
  <c r="H105" i="2"/>
  <c r="I105" i="2" s="1"/>
  <c r="D106" i="2"/>
  <c r="E106" i="2"/>
  <c r="G106" i="2"/>
  <c r="H106" i="2"/>
  <c r="I106" i="2" s="1"/>
  <c r="D107" i="2"/>
  <c r="E107" i="2"/>
  <c r="F107" i="2"/>
  <c r="G107" i="2"/>
  <c r="H107" i="2"/>
  <c r="I107" i="2" s="1"/>
  <c r="D105" i="3"/>
  <c r="E105" i="3"/>
  <c r="H105" i="3"/>
  <c r="I105" i="3" s="1"/>
  <c r="D106" i="3"/>
  <c r="E106" i="3"/>
  <c r="D107" i="3"/>
  <c r="E107" i="3"/>
  <c r="F107" i="3"/>
  <c r="G107" i="3"/>
  <c r="H107" i="3"/>
  <c r="I107" i="3" s="1"/>
  <c r="D105" i="7"/>
  <c r="E105" i="7"/>
  <c r="G105" i="7"/>
  <c r="H105" i="7"/>
  <c r="I105" i="7" s="1"/>
  <c r="L105" i="7"/>
  <c r="D106" i="7"/>
  <c r="E106" i="7"/>
  <c r="G106" i="7"/>
  <c r="H106" i="7"/>
  <c r="I106" i="7" s="1"/>
  <c r="D107" i="7"/>
  <c r="E107" i="7"/>
  <c r="F107" i="7"/>
  <c r="G107" i="7"/>
  <c r="H107" i="7"/>
  <c r="I107" i="7" s="1"/>
  <c r="D105" i="5"/>
  <c r="E105" i="5"/>
  <c r="G105" i="5"/>
  <c r="H105" i="5"/>
  <c r="I105" i="5" s="1"/>
  <c r="D106" i="5"/>
  <c r="E106" i="5"/>
  <c r="G106" i="5"/>
  <c r="H106" i="5"/>
  <c r="I106" i="5" s="1"/>
  <c r="D107" i="5"/>
  <c r="E107" i="5"/>
  <c r="G107" i="5"/>
  <c r="H107" i="5"/>
  <c r="I107" i="5" s="1"/>
  <c r="D105" i="1"/>
  <c r="E105" i="1"/>
  <c r="H105" i="1"/>
  <c r="I105" i="1" s="1"/>
  <c r="D106" i="1"/>
  <c r="E106" i="1"/>
  <c r="G106" i="1"/>
  <c r="H106" i="1"/>
  <c r="I106" i="1" s="1"/>
  <c r="D107" i="1"/>
  <c r="E107" i="1"/>
  <c r="F107" i="1"/>
  <c r="G107" i="1"/>
  <c r="H107" i="1"/>
  <c r="I107" i="1" s="1"/>
  <c r="M107" i="1" s="1"/>
  <c r="C106" i="2"/>
  <c r="C106" i="3"/>
  <c r="C106" i="7"/>
  <c r="C106" i="5"/>
  <c r="C106" i="1"/>
  <c r="C107" i="2"/>
  <c r="C107" i="3"/>
  <c r="C107" i="7"/>
  <c r="C107" i="5"/>
  <c r="C107" i="1"/>
  <c r="C105" i="2"/>
  <c r="C105" i="3"/>
  <c r="C105" i="7"/>
  <c r="C105" i="5"/>
  <c r="C105" i="1"/>
  <c r="H6" i="37"/>
  <c r="E19" i="37"/>
  <c r="G2" i="37"/>
  <c r="G19" i="37" s="1"/>
  <c r="K18" i="33"/>
  <c r="K25" i="33" s="1"/>
  <c r="F103" i="35"/>
  <c r="J103" i="35" s="1"/>
  <c r="F102" i="35"/>
  <c r="J102" i="35" s="1"/>
  <c r="F101" i="35"/>
  <c r="J101" i="35" s="1"/>
  <c r="F100" i="35"/>
  <c r="J100" i="35" s="1"/>
  <c r="F99" i="35"/>
  <c r="J99" i="35" s="1"/>
  <c r="F98" i="35"/>
  <c r="J98" i="35" s="1"/>
  <c r="F97" i="35"/>
  <c r="J97" i="35" s="1"/>
  <c r="F96" i="35"/>
  <c r="J96" i="35" s="1"/>
  <c r="F95" i="35"/>
  <c r="J95" i="35" s="1"/>
  <c r="F94" i="35"/>
  <c r="J94" i="35" s="1"/>
  <c r="L105" i="2" l="1"/>
  <c r="M105" i="2" s="1"/>
  <c r="M72" i="1"/>
  <c r="J108" i="7"/>
  <c r="J108" i="3"/>
  <c r="J108" i="2"/>
  <c r="H19" i="37"/>
  <c r="L86" i="5"/>
  <c r="M105" i="7"/>
  <c r="J108" i="5"/>
  <c r="M39" i="7"/>
  <c r="J108" i="1"/>
  <c r="J108" i="36"/>
  <c r="D16" i="37"/>
  <c r="B15" i="37"/>
  <c r="D14" i="37"/>
  <c r="D12" i="37"/>
  <c r="D11" i="37"/>
  <c r="D10" i="37"/>
  <c r="F9" i="37"/>
  <c r="F19" i="37" s="1"/>
  <c r="D8" i="37"/>
  <c r="D7" i="37"/>
  <c r="D6" i="37"/>
  <c r="C6" i="37"/>
  <c r="D5" i="37"/>
  <c r="B4" i="37"/>
  <c r="C2" i="37"/>
  <c r="B19" i="37" l="1"/>
  <c r="C19" i="37"/>
  <c r="D4" i="37"/>
  <c r="D19" i="37" s="1"/>
  <c r="L106" i="3"/>
  <c r="L106" i="1"/>
  <c r="M106" i="1" s="1"/>
  <c r="L3" i="36"/>
  <c r="L6" i="36"/>
  <c r="L7" i="36"/>
  <c r="L21" i="36"/>
  <c r="L27" i="36"/>
  <c r="L28" i="36"/>
  <c r="L29" i="36"/>
  <c r="L30" i="36"/>
  <c r="L32" i="36"/>
  <c r="L33" i="36"/>
  <c r="L35" i="36"/>
  <c r="L40" i="36"/>
  <c r="L43" i="36"/>
  <c r="L44" i="36"/>
  <c r="L48" i="36"/>
  <c r="L49" i="36"/>
  <c r="L50" i="36"/>
  <c r="L53" i="36"/>
  <c r="L55" i="36"/>
  <c r="L58" i="36"/>
  <c r="L64" i="36"/>
  <c r="L68" i="36"/>
  <c r="L71" i="36"/>
  <c r="L73" i="36"/>
  <c r="L83" i="36"/>
  <c r="L87" i="36"/>
  <c r="L89" i="36"/>
  <c r="L91" i="36"/>
  <c r="L95" i="36"/>
  <c r="L98" i="36"/>
  <c r="L100" i="36"/>
  <c r="L2" i="36"/>
  <c r="G3" i="36"/>
  <c r="H3" i="36"/>
  <c r="I3" i="36" s="1"/>
  <c r="G4" i="36"/>
  <c r="H4" i="36"/>
  <c r="I4" i="36" s="1"/>
  <c r="M4" i="36" s="1"/>
  <c r="G6" i="36"/>
  <c r="H6" i="36"/>
  <c r="I6" i="36" s="1"/>
  <c r="G7" i="36"/>
  <c r="H7" i="36"/>
  <c r="I7" i="36" s="1"/>
  <c r="G9" i="36"/>
  <c r="H9" i="36"/>
  <c r="I9" i="36" s="1"/>
  <c r="G10" i="36"/>
  <c r="H10" i="36"/>
  <c r="I10" i="36" s="1"/>
  <c r="G12" i="36"/>
  <c r="H12" i="36"/>
  <c r="I12" i="36" s="1"/>
  <c r="G13" i="36"/>
  <c r="H13" i="36"/>
  <c r="I13" i="36" s="1"/>
  <c r="G14" i="36"/>
  <c r="H14" i="36"/>
  <c r="I14" i="36" s="1"/>
  <c r="G15" i="36"/>
  <c r="H15" i="36"/>
  <c r="I15" i="36" s="1"/>
  <c r="G16" i="36"/>
  <c r="H16" i="36"/>
  <c r="I16" i="36" s="1"/>
  <c r="G17" i="36"/>
  <c r="H17" i="36"/>
  <c r="I17" i="36" s="1"/>
  <c r="G18" i="36"/>
  <c r="G19" i="36"/>
  <c r="H19" i="36"/>
  <c r="I19" i="36" s="1"/>
  <c r="M19" i="36" s="1"/>
  <c r="G20" i="36"/>
  <c r="H20" i="36"/>
  <c r="I20" i="36" s="1"/>
  <c r="M20" i="36" s="1"/>
  <c r="G21" i="36"/>
  <c r="H21" i="36"/>
  <c r="I21" i="36" s="1"/>
  <c r="G22" i="36"/>
  <c r="H22" i="36"/>
  <c r="I22" i="36" s="1"/>
  <c r="G24" i="36"/>
  <c r="G25" i="36"/>
  <c r="H25" i="36"/>
  <c r="I25" i="36" s="1"/>
  <c r="G27" i="36"/>
  <c r="H27" i="36"/>
  <c r="I27" i="36" s="1"/>
  <c r="G28" i="36"/>
  <c r="H28" i="36"/>
  <c r="I28" i="36" s="1"/>
  <c r="G29" i="36"/>
  <c r="H29" i="36"/>
  <c r="I29" i="36" s="1"/>
  <c r="G30" i="36"/>
  <c r="H30" i="36"/>
  <c r="I30" i="36" s="1"/>
  <c r="M30" i="36" s="1"/>
  <c r="G31" i="36"/>
  <c r="H31" i="36"/>
  <c r="I31" i="36" s="1"/>
  <c r="M31" i="36" s="1"/>
  <c r="G32" i="36"/>
  <c r="H32" i="36"/>
  <c r="I32" i="36" s="1"/>
  <c r="G33" i="36"/>
  <c r="H33" i="36"/>
  <c r="I33" i="36" s="1"/>
  <c r="G35" i="36"/>
  <c r="H35" i="36"/>
  <c r="I35" i="36" s="1"/>
  <c r="G37" i="36"/>
  <c r="H37" i="36"/>
  <c r="I37" i="36" s="1"/>
  <c r="G38" i="36"/>
  <c r="H38" i="36"/>
  <c r="I38" i="36" s="1"/>
  <c r="M38" i="36" s="1"/>
  <c r="H39" i="36"/>
  <c r="I39" i="36" s="1"/>
  <c r="G40" i="36"/>
  <c r="H40" i="36"/>
  <c r="I40" i="36" s="1"/>
  <c r="G41" i="36"/>
  <c r="H41" i="36"/>
  <c r="I41" i="36" s="1"/>
  <c r="G42" i="36"/>
  <c r="H42" i="36"/>
  <c r="I42" i="36" s="1"/>
  <c r="M42" i="36" s="1"/>
  <c r="G43" i="36"/>
  <c r="H43" i="36"/>
  <c r="I43" i="36" s="1"/>
  <c r="M43" i="36" s="1"/>
  <c r="G44" i="36"/>
  <c r="H44" i="36"/>
  <c r="I44" i="36" s="1"/>
  <c r="G45" i="36"/>
  <c r="H45" i="36"/>
  <c r="I45" i="36" s="1"/>
  <c r="G46" i="36"/>
  <c r="H46" i="36"/>
  <c r="I46" i="36" s="1"/>
  <c r="G48" i="36"/>
  <c r="H48" i="36"/>
  <c r="I48" i="36" s="1"/>
  <c r="G49" i="36"/>
  <c r="H49" i="36"/>
  <c r="I49" i="36" s="1"/>
  <c r="G50" i="36"/>
  <c r="H50" i="36"/>
  <c r="I50" i="36" s="1"/>
  <c r="G51" i="36"/>
  <c r="H51" i="36"/>
  <c r="I51" i="36" s="1"/>
  <c r="H52" i="36"/>
  <c r="I52" i="36" s="1"/>
  <c r="G53" i="36"/>
  <c r="H53" i="36"/>
  <c r="I53" i="36" s="1"/>
  <c r="G54" i="36"/>
  <c r="H54" i="36"/>
  <c r="I54" i="36" s="1"/>
  <c r="G55" i="36"/>
  <c r="H55" i="36"/>
  <c r="I55" i="36" s="1"/>
  <c r="G56" i="36"/>
  <c r="H56" i="36"/>
  <c r="I56" i="36" s="1"/>
  <c r="G57" i="36"/>
  <c r="H57" i="36"/>
  <c r="I57" i="36" s="1"/>
  <c r="G58" i="36"/>
  <c r="H58" i="36"/>
  <c r="I58" i="36" s="1"/>
  <c r="M58" i="36" s="1"/>
  <c r="G59" i="36"/>
  <c r="H59" i="36"/>
  <c r="I59" i="36" s="1"/>
  <c r="G60" i="36"/>
  <c r="H60" i="36"/>
  <c r="I60" i="36" s="1"/>
  <c r="G61" i="36"/>
  <c r="H61" i="36"/>
  <c r="I61" i="36" s="1"/>
  <c r="G64" i="36"/>
  <c r="H64" i="36"/>
  <c r="I64" i="36" s="1"/>
  <c r="G65" i="36"/>
  <c r="H65" i="36"/>
  <c r="I65" i="36" s="1"/>
  <c r="G66" i="36"/>
  <c r="H66" i="36"/>
  <c r="I66" i="36" s="1"/>
  <c r="G67" i="36"/>
  <c r="H67" i="36"/>
  <c r="I67" i="36" s="1"/>
  <c r="G68" i="36"/>
  <c r="H68" i="36"/>
  <c r="I68" i="36" s="1"/>
  <c r="G69" i="36"/>
  <c r="H69" i="36"/>
  <c r="I69" i="36" s="1"/>
  <c r="G71" i="36"/>
  <c r="H71" i="36"/>
  <c r="I71" i="36" s="1"/>
  <c r="G72" i="36"/>
  <c r="H72" i="36"/>
  <c r="I72" i="36" s="1"/>
  <c r="G73" i="36"/>
  <c r="H73" i="36"/>
  <c r="I73" i="36" s="1"/>
  <c r="M73" i="36" s="1"/>
  <c r="G74" i="36"/>
  <c r="H74" i="36"/>
  <c r="I74" i="36" s="1"/>
  <c r="M74" i="36" s="1"/>
  <c r="G76" i="36"/>
  <c r="H76" i="36"/>
  <c r="I76" i="36" s="1"/>
  <c r="G77" i="36"/>
  <c r="H77" i="36"/>
  <c r="I77" i="36" s="1"/>
  <c r="M77" i="36" s="1"/>
  <c r="G78" i="36"/>
  <c r="H78" i="36"/>
  <c r="I78" i="36" s="1"/>
  <c r="M78" i="36" s="1"/>
  <c r="G79" i="36"/>
  <c r="H79" i="36"/>
  <c r="I79" i="36" s="1"/>
  <c r="M79" i="36" s="1"/>
  <c r="G80" i="36"/>
  <c r="H80" i="36"/>
  <c r="I80" i="36" s="1"/>
  <c r="M80" i="36" s="1"/>
  <c r="G81" i="36"/>
  <c r="H81" i="36"/>
  <c r="I81" i="36" s="1"/>
  <c r="M81" i="36" s="1"/>
  <c r="G82" i="36"/>
  <c r="H82" i="36"/>
  <c r="I82" i="36" s="1"/>
  <c r="G83" i="36"/>
  <c r="H83" i="36"/>
  <c r="I83" i="36" s="1"/>
  <c r="G84" i="36"/>
  <c r="H84" i="36"/>
  <c r="I84" i="36" s="1"/>
  <c r="M84" i="36" s="1"/>
  <c r="G85" i="36"/>
  <c r="H85" i="36"/>
  <c r="I85" i="36" s="1"/>
  <c r="M85" i="36" s="1"/>
  <c r="G86" i="36"/>
  <c r="H86" i="36"/>
  <c r="I86" i="36" s="1"/>
  <c r="M86" i="36" s="1"/>
  <c r="G87" i="36"/>
  <c r="H87" i="36"/>
  <c r="I87" i="36" s="1"/>
  <c r="G88" i="36"/>
  <c r="H88" i="36"/>
  <c r="I88" i="36" s="1"/>
  <c r="M88" i="36" s="1"/>
  <c r="G89" i="36"/>
  <c r="H89" i="36"/>
  <c r="I89" i="36" s="1"/>
  <c r="G90" i="36"/>
  <c r="H90" i="36"/>
  <c r="I90" i="36" s="1"/>
  <c r="G91" i="36"/>
  <c r="H91" i="36"/>
  <c r="I91" i="36" s="1"/>
  <c r="G92" i="36"/>
  <c r="H92" i="36"/>
  <c r="I92" i="36" s="1"/>
  <c r="G93" i="36"/>
  <c r="H93" i="36"/>
  <c r="I93" i="36" s="1"/>
  <c r="G94" i="36"/>
  <c r="H94" i="36"/>
  <c r="I94" i="36" s="1"/>
  <c r="G95" i="36"/>
  <c r="H95" i="36"/>
  <c r="I95" i="36" s="1"/>
  <c r="G96" i="36"/>
  <c r="H96" i="36"/>
  <c r="I96" i="36" s="1"/>
  <c r="G98" i="36"/>
  <c r="H98" i="36"/>
  <c r="I98" i="36" s="1"/>
  <c r="G100" i="36"/>
  <c r="H100" i="36"/>
  <c r="I100" i="36" s="1"/>
  <c r="G101" i="36"/>
  <c r="H101" i="36"/>
  <c r="I101" i="36" s="1"/>
  <c r="G2" i="36"/>
  <c r="H2" i="36"/>
  <c r="I2" i="36" s="1"/>
  <c r="M2" i="36" s="1"/>
  <c r="E77" i="35"/>
  <c r="F6" i="35"/>
  <c r="F92" i="35"/>
  <c r="J92" i="35" s="1"/>
  <c r="F93" i="35"/>
  <c r="J93" i="35" s="1"/>
  <c r="F91" i="35"/>
  <c r="J91" i="35" s="1"/>
  <c r="F87" i="35"/>
  <c r="J87" i="35" s="1"/>
  <c r="F88" i="35"/>
  <c r="J88" i="35" s="1"/>
  <c r="F89" i="35"/>
  <c r="J89" i="35" s="1"/>
  <c r="F90" i="35"/>
  <c r="J90" i="35" s="1"/>
  <c r="F86" i="35"/>
  <c r="J86" i="35" s="1"/>
  <c r="F85" i="35"/>
  <c r="J85" i="35" s="1"/>
  <c r="F84" i="35"/>
  <c r="J84" i="35" s="1"/>
  <c r="F83" i="35"/>
  <c r="J83" i="35" s="1"/>
  <c r="F80" i="35"/>
  <c r="J80" i="35" s="1"/>
  <c r="F81" i="35"/>
  <c r="J81" i="35" s="1"/>
  <c r="F82" i="35"/>
  <c r="J82" i="35" s="1"/>
  <c r="F79" i="35"/>
  <c r="J79" i="35" s="1"/>
  <c r="F70" i="35"/>
  <c r="J70" i="35" s="1"/>
  <c r="F57" i="35"/>
  <c r="J57" i="35" s="1"/>
  <c r="F55" i="35"/>
  <c r="J55" i="35" s="1"/>
  <c r="F54" i="35"/>
  <c r="J54" i="35" s="1"/>
  <c r="F53" i="35"/>
  <c r="J53" i="35" s="1"/>
  <c r="F51" i="35"/>
  <c r="J51" i="35" s="1"/>
  <c r="F50" i="35"/>
  <c r="F5" i="35"/>
  <c r="J5" i="35" s="1"/>
  <c r="E14" i="35"/>
  <c r="G14" i="35"/>
  <c r="G175" i="35" s="1"/>
  <c r="M98" i="36" l="1"/>
  <c r="M87" i="36"/>
  <c r="M6" i="36"/>
  <c r="M91" i="36"/>
  <c r="M83" i="36"/>
  <c r="M3" i="36"/>
  <c r="M21" i="36"/>
  <c r="M95" i="36"/>
  <c r="J50" i="35"/>
  <c r="M89" i="36"/>
  <c r="M29" i="36"/>
  <c r="M71" i="36"/>
  <c r="M64" i="36"/>
  <c r="M35" i="36"/>
  <c r="M32" i="36"/>
  <c r="M28" i="36"/>
  <c r="M7" i="36"/>
  <c r="M49" i="36"/>
  <c r="M40" i="36"/>
  <c r="M50" i="36"/>
  <c r="M27" i="36"/>
  <c r="M68" i="36"/>
  <c r="M53" i="36"/>
  <c r="M44" i="36"/>
  <c r="M33" i="36"/>
  <c r="M100" i="36"/>
  <c r="M55" i="36"/>
  <c r="M48" i="36"/>
  <c r="L106" i="2"/>
  <c r="M106" i="2" s="1"/>
  <c r="M72" i="2"/>
  <c r="H107" i="36"/>
  <c r="I107" i="36" s="1"/>
  <c r="G107" i="36"/>
  <c r="H105" i="36"/>
  <c r="I105" i="36" s="1"/>
  <c r="L90" i="7"/>
  <c r="L90" i="3"/>
  <c r="J6" i="35"/>
  <c r="J14" i="35" s="1"/>
  <c r="F14" i="35"/>
  <c r="L31" i="5"/>
  <c r="L31" i="36" s="1"/>
  <c r="L93" i="3" l="1"/>
  <c r="M93" i="3" s="1"/>
  <c r="F175" i="35"/>
  <c r="L109" i="36"/>
  <c r="L107" i="3" l="1"/>
  <c r="M107" i="3" s="1"/>
  <c r="M93" i="5"/>
  <c r="M90" i="5"/>
  <c r="G23" i="35"/>
  <c r="M39" i="3"/>
  <c r="G103" i="36"/>
  <c r="G103" i="5"/>
  <c r="G104" i="5"/>
  <c r="H104" i="5"/>
  <c r="I104" i="5" s="1"/>
  <c r="G103" i="7"/>
  <c r="H103" i="7"/>
  <c r="I103" i="7" s="1"/>
  <c r="G104" i="7"/>
  <c r="H104" i="7"/>
  <c r="G103" i="3"/>
  <c r="H103" i="3"/>
  <c r="I103" i="3" s="1"/>
  <c r="G103" i="2"/>
  <c r="G104" i="2"/>
  <c r="H104" i="2"/>
  <c r="I104" i="2" s="1"/>
  <c r="G103" i="1"/>
  <c r="H104" i="1"/>
  <c r="I104" i="1" s="1"/>
  <c r="H18" i="5"/>
  <c r="H70" i="3"/>
  <c r="I70" i="3" s="1"/>
  <c r="M70" i="3" s="1"/>
  <c r="G70" i="3"/>
  <c r="G52" i="3"/>
  <c r="G39" i="3"/>
  <c r="G108" i="7" l="1"/>
  <c r="G108" i="5"/>
  <c r="H103" i="5"/>
  <c r="I103" i="5" s="1"/>
  <c r="L18" i="5"/>
  <c r="I18" i="5"/>
  <c r="L52" i="36"/>
  <c r="M52" i="36" s="1"/>
  <c r="M52" i="3"/>
  <c r="H108" i="7"/>
  <c r="I108" i="7" s="1"/>
  <c r="I104" i="7"/>
  <c r="G70" i="36"/>
  <c r="G106" i="36" s="1"/>
  <c r="G106" i="3"/>
  <c r="H70" i="36"/>
  <c r="H104" i="36" s="1"/>
  <c r="I104" i="36" s="1"/>
  <c r="H106" i="3"/>
  <c r="I106" i="3" s="1"/>
  <c r="M106" i="3" s="1"/>
  <c r="G39" i="36"/>
  <c r="G105" i="3"/>
  <c r="G108" i="2"/>
  <c r="L105" i="3"/>
  <c r="M105" i="3" s="1"/>
  <c r="G104" i="3"/>
  <c r="G108" i="3" s="1"/>
  <c r="H104" i="3"/>
  <c r="H24" i="2"/>
  <c r="I24" i="2" s="1"/>
  <c r="M24" i="2" s="1"/>
  <c r="G52" i="1"/>
  <c r="G105" i="1" s="1"/>
  <c r="H18" i="1"/>
  <c r="I18" i="1" s="1"/>
  <c r="M18" i="1" s="1"/>
  <c r="H108" i="5" l="1"/>
  <c r="I108" i="5" s="1"/>
  <c r="M18" i="5"/>
  <c r="H108" i="3"/>
  <c r="I108" i="3" s="1"/>
  <c r="I104" i="3"/>
  <c r="H106" i="36"/>
  <c r="I106" i="36" s="1"/>
  <c r="I70" i="36"/>
  <c r="G52" i="36"/>
  <c r="G104" i="1"/>
  <c r="G108" i="1" s="1"/>
  <c r="H24" i="36"/>
  <c r="I24" i="36" s="1"/>
  <c r="H103" i="2"/>
  <c r="H18" i="36"/>
  <c r="I18" i="36" s="1"/>
  <c r="H103" i="1"/>
  <c r="C3" i="36"/>
  <c r="D3" i="36"/>
  <c r="E3" i="36"/>
  <c r="F3" i="36"/>
  <c r="C4" i="36"/>
  <c r="D4" i="36"/>
  <c r="E4" i="36"/>
  <c r="F4" i="36"/>
  <c r="C6" i="36"/>
  <c r="D6" i="36"/>
  <c r="E6" i="36"/>
  <c r="F6" i="36"/>
  <c r="C7" i="36"/>
  <c r="D7" i="36"/>
  <c r="E7" i="36"/>
  <c r="F7" i="36"/>
  <c r="C9" i="36"/>
  <c r="D9" i="36"/>
  <c r="E9" i="36"/>
  <c r="C10" i="36"/>
  <c r="D10" i="36"/>
  <c r="E10" i="36"/>
  <c r="F10" i="36"/>
  <c r="C12" i="36"/>
  <c r="D12" i="36"/>
  <c r="E12" i="36"/>
  <c r="C13" i="36"/>
  <c r="D13" i="36"/>
  <c r="E13" i="36"/>
  <c r="F13" i="36"/>
  <c r="C14" i="36"/>
  <c r="D14" i="36"/>
  <c r="E14" i="36"/>
  <c r="F14" i="36"/>
  <c r="C15" i="36"/>
  <c r="D15" i="36"/>
  <c r="E15" i="36"/>
  <c r="C16" i="36"/>
  <c r="D16" i="36"/>
  <c r="E16" i="36"/>
  <c r="C17" i="36"/>
  <c r="D17" i="36"/>
  <c r="E17" i="36"/>
  <c r="F17" i="36"/>
  <c r="C18" i="36"/>
  <c r="D18" i="36"/>
  <c r="E18" i="36"/>
  <c r="C19" i="36"/>
  <c r="D19" i="36"/>
  <c r="E19" i="36"/>
  <c r="C20" i="36"/>
  <c r="D20" i="36"/>
  <c r="E20" i="36"/>
  <c r="F20" i="36"/>
  <c r="C22" i="36"/>
  <c r="D22" i="36"/>
  <c r="E22" i="36"/>
  <c r="F22" i="36"/>
  <c r="C24" i="36"/>
  <c r="D24" i="36"/>
  <c r="E24" i="36"/>
  <c r="C25" i="36"/>
  <c r="D25" i="36"/>
  <c r="E25" i="36"/>
  <c r="C31" i="36"/>
  <c r="D31" i="36"/>
  <c r="E31" i="36"/>
  <c r="C35" i="36"/>
  <c r="D35" i="36"/>
  <c r="E35" i="36"/>
  <c r="F35" i="36"/>
  <c r="C37" i="36"/>
  <c r="D37" i="36"/>
  <c r="E37" i="36"/>
  <c r="F37" i="36"/>
  <c r="C38" i="36"/>
  <c r="D38" i="36"/>
  <c r="E38" i="36"/>
  <c r="F38" i="36"/>
  <c r="C39" i="36"/>
  <c r="D39" i="36"/>
  <c r="E39" i="36"/>
  <c r="C41" i="36"/>
  <c r="D41" i="36"/>
  <c r="E41" i="36"/>
  <c r="C42" i="36"/>
  <c r="D42" i="36"/>
  <c r="E42" i="36"/>
  <c r="F42" i="36"/>
  <c r="C43" i="36"/>
  <c r="D43" i="36"/>
  <c r="E43" i="36"/>
  <c r="F43" i="36"/>
  <c r="C44" i="36"/>
  <c r="D44" i="36"/>
  <c r="E44" i="36"/>
  <c r="F44" i="36"/>
  <c r="C45" i="36"/>
  <c r="D45" i="36"/>
  <c r="E45" i="36"/>
  <c r="F45" i="36"/>
  <c r="C46" i="36"/>
  <c r="D46" i="36"/>
  <c r="E46" i="36"/>
  <c r="F46" i="36"/>
  <c r="C50" i="36"/>
  <c r="D50" i="36"/>
  <c r="E50" i="36"/>
  <c r="C51" i="36"/>
  <c r="D51" i="36"/>
  <c r="E51" i="36"/>
  <c r="F51" i="36"/>
  <c r="C52" i="36"/>
  <c r="D52" i="36"/>
  <c r="E52" i="36"/>
  <c r="F52" i="36"/>
  <c r="C53" i="36"/>
  <c r="D53" i="36"/>
  <c r="E53" i="36"/>
  <c r="F53" i="36"/>
  <c r="C54" i="36"/>
  <c r="D54" i="36"/>
  <c r="E54" i="36"/>
  <c r="C55" i="36"/>
  <c r="D55" i="36"/>
  <c r="E55" i="36"/>
  <c r="F55" i="36"/>
  <c r="C56" i="36"/>
  <c r="D56" i="36"/>
  <c r="E56" i="36"/>
  <c r="F56" i="36"/>
  <c r="C57" i="36"/>
  <c r="D57" i="36"/>
  <c r="E57" i="36"/>
  <c r="C59" i="36"/>
  <c r="D59" i="36"/>
  <c r="E59" i="36"/>
  <c r="F59" i="36"/>
  <c r="C60" i="36"/>
  <c r="D60" i="36"/>
  <c r="E60" i="36"/>
  <c r="F60" i="36"/>
  <c r="C61" i="36"/>
  <c r="D61" i="36"/>
  <c r="E61" i="36"/>
  <c r="C65" i="36"/>
  <c r="D65" i="36"/>
  <c r="E65" i="36"/>
  <c r="C66" i="36"/>
  <c r="D66" i="36"/>
  <c r="E66" i="36"/>
  <c r="F66" i="36"/>
  <c r="C67" i="36"/>
  <c r="D67" i="36"/>
  <c r="E67" i="36"/>
  <c r="F67" i="36"/>
  <c r="C69" i="36"/>
  <c r="D69" i="36"/>
  <c r="E69" i="36"/>
  <c r="C70" i="36"/>
  <c r="D70" i="36"/>
  <c r="E70" i="36"/>
  <c r="C72" i="36"/>
  <c r="D72" i="36"/>
  <c r="E72" i="36"/>
  <c r="C74" i="36"/>
  <c r="D74" i="36"/>
  <c r="E74" i="36"/>
  <c r="F74" i="36"/>
  <c r="C76" i="36"/>
  <c r="D76" i="36"/>
  <c r="E76" i="36"/>
  <c r="C77" i="36"/>
  <c r="D77" i="36"/>
  <c r="E77" i="36"/>
  <c r="F77" i="36"/>
  <c r="C78" i="36"/>
  <c r="D78" i="36"/>
  <c r="E78" i="36"/>
  <c r="F78" i="36"/>
  <c r="C79" i="36"/>
  <c r="D79" i="36"/>
  <c r="E79" i="36"/>
  <c r="F79" i="36"/>
  <c r="C80" i="36"/>
  <c r="D80" i="36"/>
  <c r="E80" i="36"/>
  <c r="F80" i="36"/>
  <c r="C81" i="36"/>
  <c r="D81" i="36"/>
  <c r="E81" i="36"/>
  <c r="F81" i="36"/>
  <c r="C82" i="36"/>
  <c r="D82" i="36"/>
  <c r="E82" i="36"/>
  <c r="C84" i="36"/>
  <c r="D84" i="36"/>
  <c r="E84" i="36"/>
  <c r="F84" i="36"/>
  <c r="C85" i="36"/>
  <c r="D85" i="36"/>
  <c r="E85" i="36"/>
  <c r="F85" i="36"/>
  <c r="C86" i="36"/>
  <c r="D86" i="36"/>
  <c r="E86" i="36"/>
  <c r="C88" i="36"/>
  <c r="D88" i="36"/>
  <c r="E88" i="36"/>
  <c r="F88" i="36"/>
  <c r="C89" i="36"/>
  <c r="D89" i="36"/>
  <c r="E89" i="36"/>
  <c r="F89" i="36"/>
  <c r="C90" i="36"/>
  <c r="D90" i="36"/>
  <c r="E90" i="36"/>
  <c r="F90" i="36"/>
  <c r="C91" i="36"/>
  <c r="D91" i="36"/>
  <c r="E91" i="36"/>
  <c r="F91" i="36"/>
  <c r="C92" i="36"/>
  <c r="D92" i="36"/>
  <c r="E92" i="36"/>
  <c r="F92" i="36"/>
  <c r="C93" i="36"/>
  <c r="D93" i="36"/>
  <c r="E93" i="36"/>
  <c r="F93" i="36"/>
  <c r="C94" i="36"/>
  <c r="D94" i="36"/>
  <c r="E94" i="36"/>
  <c r="F94" i="36"/>
  <c r="C96" i="36"/>
  <c r="D96" i="36"/>
  <c r="E96" i="36"/>
  <c r="C101" i="36"/>
  <c r="D101" i="36"/>
  <c r="E101" i="36"/>
  <c r="D2" i="36"/>
  <c r="E2" i="36"/>
  <c r="F2" i="36"/>
  <c r="C2" i="36"/>
  <c r="H3" i="32"/>
  <c r="H4" i="32"/>
  <c r="I4" i="32" s="1"/>
  <c r="H5" i="32"/>
  <c r="I5" i="32" s="1"/>
  <c r="H6" i="32"/>
  <c r="I6" i="32" s="1"/>
  <c r="H12" i="32"/>
  <c r="I12" i="32" s="1"/>
  <c r="H19" i="32"/>
  <c r="H20" i="32"/>
  <c r="H29" i="32"/>
  <c r="D103" i="5"/>
  <c r="E103" i="5"/>
  <c r="D104" i="5"/>
  <c r="E104" i="5"/>
  <c r="C104" i="5"/>
  <c r="C103" i="5"/>
  <c r="D103" i="7"/>
  <c r="E103" i="7"/>
  <c r="F103" i="7"/>
  <c r="D104" i="7"/>
  <c r="E104" i="7"/>
  <c r="C104" i="7"/>
  <c r="C103" i="7"/>
  <c r="L22" i="3"/>
  <c r="M22" i="3" s="1"/>
  <c r="L18" i="3"/>
  <c r="M18" i="3" s="1"/>
  <c r="D103" i="3"/>
  <c r="E103" i="3"/>
  <c r="D104" i="3"/>
  <c r="E104" i="3"/>
  <c r="L104" i="3"/>
  <c r="C104" i="3"/>
  <c r="C103" i="3"/>
  <c r="D103" i="2"/>
  <c r="E103" i="2"/>
  <c r="F103" i="2"/>
  <c r="D104" i="2"/>
  <c r="E104" i="2"/>
  <c r="C104" i="2"/>
  <c r="C103" i="2"/>
  <c r="D103" i="1"/>
  <c r="E103" i="1"/>
  <c r="F103" i="1"/>
  <c r="D104" i="1"/>
  <c r="E104" i="1"/>
  <c r="C104" i="1"/>
  <c r="C103" i="1"/>
  <c r="L9" i="36"/>
  <c r="M9" i="36" s="1"/>
  <c r="L10" i="5"/>
  <c r="L12" i="5"/>
  <c r="L13" i="5"/>
  <c r="L14" i="5"/>
  <c r="L15" i="5"/>
  <c r="L16" i="5"/>
  <c r="L17" i="5"/>
  <c r="L20" i="5"/>
  <c r="L20" i="36" s="1"/>
  <c r="L22" i="5"/>
  <c r="M22" i="5" s="1"/>
  <c r="L24" i="5"/>
  <c r="L25" i="5"/>
  <c r="L37" i="5"/>
  <c r="L38" i="5"/>
  <c r="L38" i="36" s="1"/>
  <c r="L41" i="5"/>
  <c r="M41" i="5" s="1"/>
  <c r="L42" i="5"/>
  <c r="L42" i="36" s="1"/>
  <c r="L46" i="36"/>
  <c r="M46" i="36" s="1"/>
  <c r="L51" i="5"/>
  <c r="L54" i="5"/>
  <c r="L57" i="36"/>
  <c r="M57" i="36" s="1"/>
  <c r="L59" i="36"/>
  <c r="M59" i="36" s="1"/>
  <c r="L60" i="36"/>
  <c r="M60" i="36" s="1"/>
  <c r="L61" i="36"/>
  <c r="M61" i="36" s="1"/>
  <c r="L65" i="36"/>
  <c r="M65" i="36" s="1"/>
  <c r="L66" i="36"/>
  <c r="M66" i="36" s="1"/>
  <c r="L67" i="36"/>
  <c r="M67" i="36" s="1"/>
  <c r="L70" i="36"/>
  <c r="L74" i="5"/>
  <c r="L74" i="36" s="1"/>
  <c r="L76" i="5"/>
  <c r="L77" i="5"/>
  <c r="L77" i="36" s="1"/>
  <c r="L78" i="5"/>
  <c r="L78" i="36" s="1"/>
  <c r="L79" i="5"/>
  <c r="L79" i="36" s="1"/>
  <c r="L80" i="5"/>
  <c r="L80" i="36" s="1"/>
  <c r="L81" i="36"/>
  <c r="L84" i="36"/>
  <c r="L85" i="36"/>
  <c r="L86" i="36"/>
  <c r="L88" i="5"/>
  <c r="L88" i="36" s="1"/>
  <c r="L94" i="5"/>
  <c r="M94" i="5" s="1"/>
  <c r="L96" i="5"/>
  <c r="J25" i="33"/>
  <c r="L25" i="33"/>
  <c r="L82" i="5" s="1"/>
  <c r="M82" i="5" s="1"/>
  <c r="H35" i="32" l="1"/>
  <c r="I3" i="32"/>
  <c r="I35" i="32" s="1"/>
  <c r="M70" i="36"/>
  <c r="E108" i="2"/>
  <c r="E108" i="7"/>
  <c r="D108" i="5"/>
  <c r="L25" i="36"/>
  <c r="M25" i="36" s="1"/>
  <c r="M25" i="5"/>
  <c r="L17" i="36"/>
  <c r="M17" i="36" s="1"/>
  <c r="M17" i="5"/>
  <c r="L13" i="36"/>
  <c r="M13" i="36" s="1"/>
  <c r="M13" i="5"/>
  <c r="L82" i="36"/>
  <c r="M82" i="36" s="1"/>
  <c r="H108" i="2"/>
  <c r="I108" i="2" s="1"/>
  <c r="I103" i="2"/>
  <c r="L96" i="36"/>
  <c r="M96" i="36" s="1"/>
  <c r="M96" i="5"/>
  <c r="L54" i="36"/>
  <c r="M54" i="36" s="1"/>
  <c r="M54" i="5"/>
  <c r="L24" i="36"/>
  <c r="M24" i="36" s="1"/>
  <c r="M24" i="5"/>
  <c r="L16" i="36"/>
  <c r="M16" i="36" s="1"/>
  <c r="M16" i="5"/>
  <c r="L12" i="36"/>
  <c r="M12" i="36" s="1"/>
  <c r="M12" i="5"/>
  <c r="C108" i="3"/>
  <c r="L51" i="36"/>
  <c r="M51" i="36" s="1"/>
  <c r="M51" i="5"/>
  <c r="L15" i="36"/>
  <c r="M15" i="36" s="1"/>
  <c r="M15" i="5"/>
  <c r="L10" i="36"/>
  <c r="M10" i="36" s="1"/>
  <c r="M10" i="5"/>
  <c r="H108" i="1"/>
  <c r="I108" i="1" s="1"/>
  <c r="I103" i="1"/>
  <c r="L76" i="36"/>
  <c r="M76" i="36" s="1"/>
  <c r="M76" i="5"/>
  <c r="L14" i="36"/>
  <c r="M14" i="36" s="1"/>
  <c r="M14" i="5"/>
  <c r="L37" i="3"/>
  <c r="M104" i="3"/>
  <c r="H103" i="36"/>
  <c r="C108" i="1"/>
  <c r="L41" i="36"/>
  <c r="M41" i="36" s="1"/>
  <c r="L105" i="5"/>
  <c r="M105" i="5" s="1"/>
  <c r="E108" i="1"/>
  <c r="D108" i="2"/>
  <c r="D108" i="7"/>
  <c r="L94" i="36"/>
  <c r="M94" i="36" s="1"/>
  <c r="L107" i="5"/>
  <c r="M107" i="5" s="1"/>
  <c r="C106" i="36"/>
  <c r="E106" i="36"/>
  <c r="E105" i="36"/>
  <c r="E107" i="36"/>
  <c r="D106" i="36"/>
  <c r="D105" i="36"/>
  <c r="D107" i="36"/>
  <c r="C105" i="36"/>
  <c r="C107" i="36"/>
  <c r="G104" i="36"/>
  <c r="G108" i="36" s="1"/>
  <c r="G105" i="36"/>
  <c r="C103" i="36"/>
  <c r="L18" i="36"/>
  <c r="M18" i="36" s="1"/>
  <c r="D108" i="1"/>
  <c r="D108" i="3"/>
  <c r="L22" i="36"/>
  <c r="M22" i="36" s="1"/>
  <c r="M72" i="5"/>
  <c r="L56" i="36"/>
  <c r="M56" i="36" s="1"/>
  <c r="E108" i="3"/>
  <c r="E108" i="5"/>
  <c r="D103" i="36"/>
  <c r="C108" i="5"/>
  <c r="C108" i="7"/>
  <c r="C108" i="2"/>
  <c r="E104" i="36"/>
  <c r="L103" i="5"/>
  <c r="M103" i="5" s="1"/>
  <c r="C104" i="36"/>
  <c r="E103" i="36"/>
  <c r="D104" i="36"/>
  <c r="D108" i="36" l="1"/>
  <c r="H108" i="36"/>
  <c r="I108" i="36" s="1"/>
  <c r="I103" i="36"/>
  <c r="L103" i="3"/>
  <c r="M37" i="3"/>
  <c r="C108" i="36"/>
  <c r="E108" i="36"/>
  <c r="M103" i="3" l="1"/>
  <c r="L108" i="3"/>
  <c r="M108" i="3" s="1"/>
  <c r="C52" i="35"/>
  <c r="F52" i="35" l="1"/>
  <c r="C23" i="35"/>
  <c r="C22" i="35"/>
  <c r="C21" i="35"/>
  <c r="C20" i="35"/>
  <c r="C19" i="35"/>
  <c r="C18" i="35"/>
  <c r="C17" i="35"/>
  <c r="H17" i="35" s="1"/>
  <c r="F19" i="35" l="1"/>
  <c r="H19" i="35"/>
  <c r="F21" i="35"/>
  <c r="J21" i="35" s="1"/>
  <c r="H21" i="35"/>
  <c r="F18" i="35"/>
  <c r="J18" i="35" s="1"/>
  <c r="H18" i="35"/>
  <c r="F22" i="35"/>
  <c r="J22" i="35" s="1"/>
  <c r="H22" i="35"/>
  <c r="F23" i="35"/>
  <c r="J23" i="35" s="1"/>
  <c r="H23" i="35"/>
  <c r="F20" i="35"/>
  <c r="J20" i="35" s="1"/>
  <c r="H20" i="35"/>
  <c r="J19" i="35"/>
  <c r="F17" i="35"/>
  <c r="J52" i="35"/>
  <c r="L92" i="7"/>
  <c r="M92" i="7" s="1"/>
  <c r="M93" i="7"/>
  <c r="F70" i="3"/>
  <c r="F69" i="3"/>
  <c r="F39" i="3"/>
  <c r="F105" i="3" s="1"/>
  <c r="F31" i="3"/>
  <c r="F25" i="3"/>
  <c r="F25" i="36" s="1"/>
  <c r="F18" i="3"/>
  <c r="F86" i="5"/>
  <c r="F86" i="36" s="1"/>
  <c r="F82" i="5"/>
  <c r="F82" i="36" s="1"/>
  <c r="F72" i="5"/>
  <c r="F72" i="36" s="1"/>
  <c r="F70" i="5"/>
  <c r="F69" i="5"/>
  <c r="F65" i="5"/>
  <c r="F54" i="5"/>
  <c r="F54" i="36" s="1"/>
  <c r="F50" i="5"/>
  <c r="F50" i="36" s="1"/>
  <c r="F39" i="5"/>
  <c r="F96" i="5"/>
  <c r="F101" i="5"/>
  <c r="F101" i="36" s="1"/>
  <c r="F31" i="5"/>
  <c r="F24" i="5"/>
  <c r="F24" i="36" s="1"/>
  <c r="F19" i="5"/>
  <c r="F19" i="36" s="1"/>
  <c r="F18" i="5"/>
  <c r="F16" i="5"/>
  <c r="F16" i="36" s="1"/>
  <c r="F15" i="5"/>
  <c r="F15" i="36" s="1"/>
  <c r="F106" i="3" l="1"/>
  <c r="L90" i="2"/>
  <c r="L93" i="2"/>
  <c r="F96" i="36"/>
  <c r="F107" i="36" s="1"/>
  <c r="F107" i="5"/>
  <c r="F106" i="5"/>
  <c r="F104" i="5"/>
  <c r="F105" i="5"/>
  <c r="L92" i="36"/>
  <c r="M92" i="36" s="1"/>
  <c r="L107" i="7"/>
  <c r="F31" i="36"/>
  <c r="F70" i="36"/>
  <c r="F104" i="3"/>
  <c r="F103" i="3"/>
  <c r="F18" i="36"/>
  <c r="J17" i="35"/>
  <c r="F12" i="5"/>
  <c r="F12" i="36" s="1"/>
  <c r="F9" i="5"/>
  <c r="L69" i="7"/>
  <c r="R69" i="7" s="1"/>
  <c r="F65" i="7"/>
  <c r="F69" i="7"/>
  <c r="F39" i="7"/>
  <c r="R69" i="36" l="1"/>
  <c r="M107" i="7"/>
  <c r="F108" i="3"/>
  <c r="L72" i="7"/>
  <c r="L72" i="36" s="1"/>
  <c r="M72" i="36" s="1"/>
  <c r="M69" i="7"/>
  <c r="F65" i="36"/>
  <c r="F106" i="7"/>
  <c r="F104" i="7"/>
  <c r="F108" i="7" s="1"/>
  <c r="F105" i="7"/>
  <c r="L69" i="36"/>
  <c r="M69" i="36" s="1"/>
  <c r="F103" i="5"/>
  <c r="F108" i="5" s="1"/>
  <c r="F9" i="36"/>
  <c r="F103" i="36" s="1"/>
  <c r="M93" i="2"/>
  <c r="F76" i="2"/>
  <c r="F76" i="36" s="1"/>
  <c r="F69" i="2"/>
  <c r="F39" i="2"/>
  <c r="F105" i="2" s="1"/>
  <c r="M72" i="7" l="1"/>
  <c r="R72" i="7"/>
  <c r="L106" i="7"/>
  <c r="M106" i="7" s="1"/>
  <c r="F106" i="2"/>
  <c r="L107" i="2"/>
  <c r="M107" i="2" s="1"/>
  <c r="L104" i="2"/>
  <c r="L104" i="7"/>
  <c r="F39" i="36"/>
  <c r="F104" i="2"/>
  <c r="F108" i="2" s="1"/>
  <c r="L45" i="36"/>
  <c r="M45" i="36" s="1"/>
  <c r="R72" i="36" l="1"/>
  <c r="R106" i="7"/>
  <c r="R104" i="7"/>
  <c r="L37" i="2"/>
  <c r="M104" i="2"/>
  <c r="L37" i="7"/>
  <c r="M104" i="7"/>
  <c r="L39" i="36"/>
  <c r="L105" i="1"/>
  <c r="M105" i="1" s="1"/>
  <c r="F61" i="1"/>
  <c r="F61" i="36" s="1"/>
  <c r="F57" i="1"/>
  <c r="F69" i="1"/>
  <c r="F69" i="36" s="1"/>
  <c r="F41" i="1"/>
  <c r="F105" i="1" s="1"/>
  <c r="R37" i="7" l="1"/>
  <c r="L103" i="2"/>
  <c r="M37" i="2"/>
  <c r="L105" i="36"/>
  <c r="M105" i="36" s="1"/>
  <c r="M39" i="36"/>
  <c r="L103" i="7"/>
  <c r="M37" i="7"/>
  <c r="F57" i="36"/>
  <c r="F106" i="36" s="1"/>
  <c r="F106" i="1"/>
  <c r="F41" i="36"/>
  <c r="F104" i="1"/>
  <c r="F108" i="1" s="1"/>
  <c r="I25" i="33"/>
  <c r="H25" i="33"/>
  <c r="G25" i="33"/>
  <c r="F25" i="33"/>
  <c r="B4" i="33"/>
  <c r="B25" i="33" s="1"/>
  <c r="E2" i="33"/>
  <c r="E25" i="33" s="1"/>
  <c r="D28" i="32"/>
  <c r="D25" i="32"/>
  <c r="G23" i="32"/>
  <c r="D23" i="32"/>
  <c r="D22" i="32"/>
  <c r="D18" i="32"/>
  <c r="D17" i="32"/>
  <c r="G16" i="32"/>
  <c r="F16" i="32"/>
  <c r="E16" i="32"/>
  <c r="B16" i="32"/>
  <c r="D16" i="32" s="1"/>
  <c r="F15" i="32"/>
  <c r="E15" i="32"/>
  <c r="D15" i="32"/>
  <c r="G14" i="32"/>
  <c r="D14" i="32"/>
  <c r="G13" i="32"/>
  <c r="F13" i="32"/>
  <c r="E13" i="32"/>
  <c r="D13" i="32"/>
  <c r="D9" i="32"/>
  <c r="D8" i="32"/>
  <c r="B7" i="32"/>
  <c r="D7" i="32" s="1"/>
  <c r="B6" i="32"/>
  <c r="D6" i="32" s="1"/>
  <c r="D4" i="32"/>
  <c r="D3" i="32"/>
  <c r="B2" i="32"/>
  <c r="D2" i="32" s="1"/>
  <c r="E35" i="32" l="1"/>
  <c r="R101" i="5"/>
  <c r="R103" i="7"/>
  <c r="R37" i="36"/>
  <c r="F35" i="32"/>
  <c r="G35" i="32"/>
  <c r="L108" i="2"/>
  <c r="M108" i="2" s="1"/>
  <c r="M103" i="2"/>
  <c r="L108" i="7"/>
  <c r="M103" i="7"/>
  <c r="F104" i="36"/>
  <c r="F108" i="36" s="1"/>
  <c r="F105" i="36"/>
  <c r="D10" i="32"/>
  <c r="D35" i="32" s="1"/>
  <c r="R103" i="36" l="1"/>
  <c r="R108" i="7"/>
  <c r="R104" i="5"/>
  <c r="R106" i="5"/>
  <c r="R106" i="36" s="1"/>
  <c r="R101" i="36"/>
  <c r="M108" i="7"/>
  <c r="F69" i="35"/>
  <c r="R108" i="5" l="1"/>
  <c r="R104" i="36"/>
  <c r="J69" i="35"/>
  <c r="J77" i="35" s="1"/>
  <c r="R108" i="36" l="1"/>
  <c r="L93" i="1"/>
  <c r="L93" i="36" s="1"/>
  <c r="M93" i="36" s="1"/>
  <c r="L90" i="1"/>
  <c r="L104" i="1" l="1"/>
  <c r="M104" i="1" s="1"/>
  <c r="L107" i="1"/>
  <c r="L90" i="36"/>
  <c r="M90" i="36" s="1"/>
  <c r="L37" i="1" l="1"/>
  <c r="M37" i="1" s="1"/>
  <c r="L107" i="36"/>
  <c r="M107" i="36" s="1"/>
  <c r="L106" i="5"/>
  <c r="M106" i="5" s="1"/>
  <c r="L37" i="36" l="1"/>
  <c r="L103" i="36" s="1"/>
  <c r="M103" i="36" s="1"/>
  <c r="L103" i="1"/>
  <c r="L101" i="36"/>
  <c r="M101" i="36" s="1"/>
  <c r="M101" i="5"/>
  <c r="L104" i="5"/>
  <c r="M104" i="5" s="1"/>
  <c r="M37" i="36" l="1"/>
  <c r="M103" i="1"/>
  <c r="L108" i="1"/>
  <c r="M108" i="1" s="1"/>
  <c r="L104" i="36"/>
  <c r="L108" i="36" s="1"/>
  <c r="L106" i="36"/>
  <c r="M106" i="36" s="1"/>
  <c r="L108" i="5"/>
  <c r="M108" i="5" s="1"/>
  <c r="M104" i="36" l="1"/>
  <c r="L110" i="36"/>
  <c r="M108" i="36"/>
  <c r="AE72" i="36"/>
  <c r="AE106" i="36" s="1"/>
  <c r="AE108" i="36" l="1"/>
  <c r="AE111" i="36" s="1"/>
  <c r="BM2" i="36"/>
  <c r="BM103" i="36" s="1"/>
  <c r="BM108" i="36" s="1"/>
  <c r="BM103" i="5"/>
  <c r="BM108" i="5" s="1"/>
  <c r="BT37" i="36" l="1"/>
  <c r="BT103" i="36" s="1"/>
  <c r="BT103" i="1"/>
  <c r="BT108" i="1" s="1"/>
  <c r="BT101" i="5"/>
  <c r="BT104" i="5" s="1"/>
  <c r="BT108" i="5" s="1"/>
  <c r="BT106" i="5" l="1"/>
  <c r="BT101" i="36"/>
  <c r="BT104" i="36" l="1"/>
  <c r="BT108" i="36" s="1"/>
  <c r="BT106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D21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2013.év adata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Dudásné Ulrich Mária</author>
    <author>Kabai Eva</author>
  </authors>
  <commentList>
    <comment ref="AY4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+ 10 millió Bölcsőde előirányzat növekedése miatt</t>
        </r>
      </text>
    </comment>
    <comment ref="BM7" authorId="0" shapeId="0" xr:uid="{4F21518F-9F72-4DC8-9F35-FB8A73A7B1A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Faluház elnyert projektek</t>
        </r>
      </text>
    </comment>
    <comment ref="BM34" authorId="0" shapeId="0" xr:uid="{D5FDFB52-503D-41B7-8FD0-74AED06A645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50 milliós hitel felvétele</t>
        </r>
      </text>
    </comment>
    <comment ref="BM74" authorId="0" shapeId="0" xr:uid="{C81785DD-B6D3-41C7-978D-83AE6C17BF71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50 milliós hitelkamatai</t>
        </r>
      </text>
    </comment>
    <comment ref="BM90" authorId="0" shapeId="0" xr:uid="{585A75C3-C335-4856-A395-8C56107B660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Előző évekről áthúzódó projektek + TOP PLUSZ el nem végzett része</t>
        </r>
      </text>
    </comment>
    <comment ref="BK98" authorId="0" shapeId="0" xr:uid="{3AEE1EF5-DBD6-4A21-B656-FB10702CC0B1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Dunakomp + Lehel támogatások kifizetése</t>
        </r>
      </text>
    </comment>
    <comment ref="BM99" authorId="0" shapeId="0" xr:uid="{9DF94207-43BD-459F-894D-41C597580FC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folyószámla hitel visszafizetése</t>
        </r>
      </text>
    </comment>
    <comment ref="BM100" authorId="0" shapeId="0" xr:uid="{BDEFDAA1-724E-45BE-9322-7CC52FA620D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konkrét összeg</t>
        </r>
      </text>
    </comment>
    <comment ref="R111" authorId="1" shapeId="0" xr:uid="{00000000-0006-0000-0900-000002000000}">
      <text>
        <r>
          <rPr>
            <sz val="9"/>
            <color indexed="81"/>
            <rFont val="Tahoma"/>
            <family val="2"/>
            <charset val="238"/>
          </rPr>
          <t xml:space="preserve">
2018.10.31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Balláné Nagy Gabriella</author>
  </authors>
  <commentList>
    <comment ref="AE16" authorId="0" shapeId="0" xr:uid="{2B405802-818E-44F1-B2FF-43D48C0B6F12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2024-2025-ben 500.000.-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Dudásné Ulrich Mária</author>
  </authors>
  <commentList>
    <comment ref="V6" authorId="0" shapeId="0" xr:uid="{745EA67A-25A7-4F1A-8E82-5F1CE056DFB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2022. teljesítés alapján</t>
        </r>
      </text>
    </comment>
    <comment ref="V7" authorId="0" shapeId="0" xr:uid="{FEAA8B57-A358-4762-B424-E2745AE9F40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Zsolt mondta</t>
        </r>
      </text>
    </comment>
    <comment ref="V8" authorId="0" shapeId="0" xr:uid="{DA88380F-B069-4EE2-A70A-2C55FD6D394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2022. tényleges alapján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Kabai Eva</author>
    <author>Gotthard Viktor</author>
    <author>Dudásné Ulrich Mária</author>
  </authors>
  <commentList>
    <comment ref="U6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Önkormányzat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4" authorId="1" shapeId="0" xr:uid="{00000000-0006-0000-0300-000002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Kérjünk rá árajánlatot!</t>
        </r>
      </text>
    </comment>
    <comment ref="I112" authorId="1" shapeId="0" xr:uid="{00000000-0006-0000-0300-000003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Csak a kerékpártároló</t>
        </r>
      </text>
    </comment>
    <comment ref="AI112" authorId="2" shapeId="0" xr:uid="{8D176580-2D13-4D02-A166-034DE7DD2367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fennmaradó kiadási összeg, mivel a Pásztor és Lehel kompoknak már át lett utalva a megfelelő összeg.</t>
        </r>
      </text>
    </comment>
    <comment ref="AI114" authorId="2" shapeId="0" xr:uid="{F709D628-D7BA-4B62-884F-0EBF218988F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TOP PLUSZ pályázatok korrigálva lettek a 2023. 12. 31-i állapotnak megfelelően</t>
        </r>
      </text>
    </comment>
    <comment ref="I116" authorId="1" shapeId="0" xr:uid="{00000000-0006-0000-0300-000004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Várható rá pályázat =&gt; önrészre hagyunk bent keretet</t>
        </r>
      </text>
    </comment>
    <comment ref="AG116" authorId="2" shapeId="0" xr:uid="{5AEE6665-7F79-4AE1-BF17-F1B3C1B132F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Ennyit kell még átutalni a Dunakompnak (Lehel, Pásztor megkapta)</t>
        </r>
      </text>
    </comment>
    <comment ref="AG119" authorId="2" shapeId="0" xr:uid="{49282E53-5F39-4AF9-8DC3-0643A88A0D3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Nettó finanszírozású projekt</t>
        </r>
      </text>
    </comment>
    <comment ref="AG120" authorId="2" shapeId="0" xr:uid="{124649D0-6CEA-40DF-8619-62A1ABDEBC8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Nettó finanszírozású projekt</t>
        </r>
      </text>
    </comment>
    <comment ref="G122" authorId="1" shapeId="0" xr:uid="{00000000-0006-0000-0300-000005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??????</t>
        </r>
      </text>
    </comment>
    <comment ref="B125" authorId="1" shapeId="0" xr:uid="{00000000-0006-0000-0300-000006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idén jár le minden gép licensze</t>
        </r>
      </text>
    </comment>
    <comment ref="W125" authorId="1" shapeId="0" xr:uid="{00000000-0006-0000-0300-000007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idén jár le minden gép licensze</t>
        </r>
      </text>
    </comment>
    <comment ref="B144" authorId="1" shapeId="0" xr:uid="{00000000-0006-0000-0300-000008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pályázzunk rá ha lehet</t>
        </r>
      </text>
    </comment>
    <comment ref="W144" authorId="1" shapeId="0" xr:uid="{00000000-0006-0000-0300-000009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pályázzunk rá ha lehet</t>
        </r>
      </text>
    </comment>
    <comment ref="AE177" authorId="2" shapeId="0" xr:uid="{E0E473C0-6672-45B9-A460-ECA9BF29D31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2022.07.31-ig megvalósított, leszámlázott beruházás:101.060.390 Ft + PLUS TOP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Dudásné Ulrich Mária</author>
    <author>Balláné Nagy Gabriella</author>
  </authors>
  <commentList>
    <comment ref="BQ21" authorId="0" shapeId="0" xr:uid="{BB0D7ED5-6168-41D3-B096-8FD550E06D0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előző év alapján</t>
        </r>
      </text>
    </comment>
    <comment ref="BM22" authorId="0" shapeId="0" xr:uid="{C6B48B65-1CD8-4F25-8BE7-B0C0B2D3910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18%-os ÁFÁ-val számolva</t>
        </r>
      </text>
    </comment>
    <comment ref="BQ35" authorId="0" shapeId="0" xr:uid="{941E3A9D-113F-4018-8C6B-2DDA7F4232A2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Bank és pénztár pénzkészlet összege</t>
        </r>
      </text>
    </comment>
    <comment ref="BR35" authorId="0" shapeId="0" xr:uid="{9C6CA08F-2E7F-4632-B214-87E211F7A48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XII. 31-i pénzkészlet</t>
        </r>
      </text>
    </comment>
    <comment ref="BT35" authorId="0" shapeId="0" xr:uid="{4BBC38B6-025D-489E-96A4-D67412B609F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2023 12 31-i bank + pt.</t>
        </r>
      </text>
    </comment>
    <comment ref="BU35" authorId="1" shapeId="0" xr:uid="{943CBC7E-AF78-4B3C-844D-8AE60F33E0D2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2024.12.31. bank+pt.</t>
        </r>
      </text>
    </comment>
    <comment ref="BH37" authorId="0" shapeId="0" xr:uid="{D17F7FDE-F10A-47CB-8040-287A5BF52BB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27 gyermek állami normatívája érkezik majd meg</t>
        </r>
      </text>
    </comment>
    <comment ref="BI37" authorId="0" shapeId="0" xr:uid="{2F16EE02-9133-4FFB-A11E-E8ACF3853302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10 millió Ft előirányzat emelés vált szükségessé!</t>
        </r>
      </text>
    </comment>
    <comment ref="BP39" authorId="0" shapeId="0" xr:uid="{5A924450-5A6E-4742-935E-CF169294DC1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+ 2.740.186 Ft a bérmaradvány szétosztása miatt</t>
        </r>
      </text>
    </comment>
    <comment ref="BQ39" authorId="0" shapeId="0" xr:uid="{3A699125-F415-4FCA-ADE0-42722944ECC2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10 % emelés a PM tv. miatt</t>
        </r>
      </text>
    </comment>
    <comment ref="BR39" authorId="0" shapeId="0" xr:uid="{BB75FF7F-265E-4B5E-A975-760261C91B1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Bölcsi Marcsi kalkulációja</t>
        </r>
      </text>
    </comment>
    <comment ref="BH45" authorId="0" shapeId="0" xr:uid="{36039906-FF5E-4EAA-B091-BE537C73FE7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továbbképzés on-line</t>
        </r>
      </text>
    </comment>
    <comment ref="BH51" authorId="0" shapeId="0" xr:uid="{CE523A44-7C00-4140-B6ED-4207207805F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dietetikus</t>
        </r>
      </text>
    </comment>
    <comment ref="BH52" authorId="0" shapeId="0" xr:uid="{8A42A505-A453-4DA4-B0C9-29CD7F7F5B3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13 %</t>
        </r>
      </text>
    </comment>
    <comment ref="BQ56" authorId="0" shapeId="0" xr:uid="{912424B9-BF6C-408A-91A7-345D7B014AE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10 % emelés a dologi kiadásoknál</t>
        </r>
      </text>
    </comment>
    <comment ref="BM57" authorId="0" shapeId="0" xr:uid="{E719E3E1-D582-449B-A5E3-022F4D3BE34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2022. évi teljesítés + 2 millió Ft az Élelmiszer áremelkedések miatti emelés</t>
        </r>
      </text>
    </comment>
    <comment ref="BM61" authorId="0" shapeId="0" xr:uid="{4F36B95C-0D42-4C3C-B82F-F0C186F0C56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gázra 5,5 -ös, villanyra 2,2-es szorzó az áremelések miatt
E2"-vel egyeztetve</t>
        </r>
      </text>
    </comment>
    <comment ref="AZ6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csatornatisztítás 1.200.000</t>
        </r>
      </text>
    </comment>
    <comment ref="AZ69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ide tettem a K322 ről elvett 1 milliót</t>
        </r>
      </text>
    </comment>
    <comment ref="BU92" authorId="1" shapeId="0" xr:uid="{A812360B-CCEB-4F19-A8A5-EB70F5A1EC87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Klíma, szunyogh,tűzhely</t>
        </r>
      </text>
    </comment>
    <comment ref="BV92" authorId="1" shapeId="0" xr:uid="{70E1BAC2-7E6B-4702-B6B5-6F9B4BE48578}">
      <text>
        <r>
          <rPr>
            <b/>
            <sz val="9"/>
            <color indexed="81"/>
            <rFont val="Tahoma"/>
            <charset val="1"/>
          </rPr>
          <t>Balláné Nagy Gabriella:</t>
        </r>
        <r>
          <rPr>
            <sz val="9"/>
            <color indexed="81"/>
            <rFont val="Tahoma"/>
            <charset val="1"/>
          </rPr>
          <t xml:space="preserve">
tűzhely+sütő</t>
        </r>
      </text>
    </comment>
    <comment ref="BU94" authorId="1" shapeId="0" xr:uid="{613FC1D1-F972-49CF-9068-F81A0F1823C8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tető</t>
        </r>
      </text>
    </comment>
    <comment ref="BV94" authorId="1" shapeId="0" xr:uid="{F58B8A43-A190-44DC-A1B9-09A0CCC9DE71}">
      <text>
        <r>
          <rPr>
            <b/>
            <sz val="9"/>
            <color indexed="81"/>
            <rFont val="Tahoma"/>
            <charset val="1"/>
          </rPr>
          <t>Balláné Nagy Gabriella:</t>
        </r>
        <r>
          <rPr>
            <sz val="9"/>
            <color indexed="81"/>
            <rFont val="Tahoma"/>
            <charset val="1"/>
          </rPr>
          <t xml:space="preserve">
terasz javítása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Balláné Nagy Gabriella</author>
    <author>Dudásné Ulrich Mária</author>
  </authors>
  <commentList>
    <comment ref="BV1" authorId="0" shapeId="0" xr:uid="{5207449D-4AFC-40B1-9ACC-D5BBD946BC0E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Faluház terve</t>
        </r>
      </text>
    </comment>
    <comment ref="BM7" authorId="1" shapeId="0" xr:uid="{23EA0C31-EB2F-4DB4-B22B-93B11B53BE8A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20%-os bértámogatás</t>
        </r>
      </text>
    </comment>
    <comment ref="BM10" authorId="1" shapeId="0" xr:uid="{CDD9B344-020E-4543-8F72-0D615FAF252D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2023. évi megnyert pályázatok</t>
        </r>
      </text>
    </comment>
    <comment ref="BH18" authorId="1" shapeId="0" xr:uid="{2F3372FC-362D-4675-A38A-C145D8D65BA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- újságoló hirdetések</t>
        </r>
      </text>
    </comment>
    <comment ref="BM35" authorId="1" shapeId="0" xr:uid="{9CBDD2DA-091A-45E9-B3C5-8D36ACCE03C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Pénzkészlet XII. 31-én</t>
        </r>
      </text>
    </comment>
    <comment ref="BQ35" authorId="1" shapeId="0" xr:uid="{C00F2DA5-83E3-4545-B827-19D9A6335A3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XII. 31-i pénzkészlet</t>
        </r>
      </text>
    </comment>
    <comment ref="BR35" authorId="1" shapeId="0" xr:uid="{0B760002-05F4-40AB-BF4E-B7556084860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XII. 31-i pénzkészlet</t>
        </r>
      </text>
    </comment>
    <comment ref="BT35" authorId="1" shapeId="0" xr:uid="{12635443-A402-4116-A201-ECFFCC98B87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2023 12 31-i bank + pt.</t>
        </r>
      </text>
    </comment>
    <comment ref="BU35" authorId="0" shapeId="0" xr:uid="{D4A6C96D-A651-4AC8-A341-0308B9248039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2024.12.31. maradvány pályázatok maradványa</t>
        </r>
      </text>
    </comment>
    <comment ref="BM39" authorId="1" shapeId="0" xr:uid="{8EA87ABE-05A8-4916-A2CA-D3FE8E55ADAD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14% minimálbér emelés + Ifjúsági Ház</t>
        </r>
      </text>
    </comment>
    <comment ref="BP39" authorId="1" shapeId="0" xr:uid="{470CE23C-72F2-4EF0-9FF3-77569E479BA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+ 1.098.979 a bérmaradvány felosztása miatt</t>
        </r>
      </text>
    </comment>
    <comment ref="BR41" authorId="1" shapeId="0" xr:uid="{1A45F9C8-CA61-4A12-9146-BCE1FDA66A1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Adrienn adta meg</t>
        </r>
      </text>
    </comment>
    <comment ref="BM44" authorId="1" shapeId="0" xr:uid="{AE7C5016-4870-4F61-A63A-85713C45BCAE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Ifjúsági Ház</t>
        </r>
      </text>
    </comment>
    <comment ref="BM50" authorId="1" shapeId="0" xr:uid="{EEA9B1BD-8154-4722-AE95-BB7AB6C3A3C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+Ifjúsági Ház</t>
        </r>
      </text>
    </comment>
    <comment ref="BR50" authorId="1" shapeId="0" xr:uid="{67959CD9-64CC-4012-8613-8FBC8F30B21B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Adrienn adta meg</t>
        </r>
      </text>
    </comment>
    <comment ref="BM52" authorId="1" shapeId="0" xr:uid="{94DEA608-8CD7-4BF6-8DBE-C027C03DE42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+Ifjúsági Ház</t>
        </r>
      </text>
    </comment>
    <comment ref="BR56" authorId="1" shapeId="0" xr:uid="{D62B7ED7-09C6-445F-A1F6-9C024152F8A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Adrienn adta meg</t>
        </r>
      </text>
    </comment>
    <comment ref="BV56" authorId="0" shapeId="0" xr:uid="{9F817796-6474-46F3-B99E-06D827801483}">
      <text>
        <r>
          <rPr>
            <b/>
            <sz val="9"/>
            <color indexed="81"/>
            <rFont val="Tahoma"/>
            <charset val="1"/>
          </rPr>
          <t>Balláné Nagy Gabriella:</t>
        </r>
        <r>
          <rPr>
            <sz val="9"/>
            <color indexed="81"/>
            <rFont val="Tahoma"/>
            <charset val="1"/>
          </rPr>
          <t xml:space="preserve">
2.200.000.- könyvbeszerzés is benne van</t>
        </r>
      </text>
    </comment>
    <comment ref="BM57" authorId="1" shapeId="0" xr:uid="{235C0178-AC43-4916-95B0-EF2DC67186E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+Ifjúsági Ház</t>
        </r>
      </text>
    </comment>
    <comment ref="BM59" authorId="1" shapeId="0" xr:uid="{B963C1D1-9EF1-4782-A6F5-76E5A573E31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Ifjúsági Ház</t>
        </r>
      </text>
    </comment>
    <comment ref="BM60" authorId="1" shapeId="0" xr:uid="{0941750D-BCD2-4BF6-88D9-3281367D8BE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Ifjúsági Ház</t>
        </r>
      </text>
    </comment>
    <comment ref="BM61" authorId="1" shapeId="0" xr:uid="{0B758237-970D-44F0-930E-220F13C889D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Ifjúsági Ház</t>
        </r>
      </text>
    </comment>
    <comment ref="BM66" authorId="1" shapeId="0" xr:uid="{E9FC40E9-A37C-4686-9339-EC80A9C87C3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Ifjúsági Ház</t>
        </r>
      </text>
    </comment>
    <comment ref="AX69" authorId="1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- Újságoló 3 millió
- Rendezvények 3,2 millió</t>
        </r>
      </text>
    </comment>
    <comment ref="BM69" authorId="1" shapeId="0" xr:uid="{5538F79B-D837-407C-9753-E1EF66E7874A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Ifjúsági Ház</t>
        </r>
      </text>
    </comment>
    <comment ref="BR69" authorId="1" shapeId="0" xr:uid="{0F9DABDF-A690-4539-BDB5-653C8B5D0A91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Adrienn adta meg</t>
        </r>
      </text>
    </comment>
    <comment ref="BM72" authorId="1" shapeId="0" xr:uid="{AD62F107-F92E-4463-827C-BD97930B1CA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+Ifjúsági Ház</t>
        </r>
      </text>
    </comment>
    <comment ref="BM73" authorId="1" shapeId="0" xr:uid="{B9C4AE2E-BBA7-4123-80DA-A1D0DBF80F7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+Ifjúsági Ház</t>
        </r>
      </text>
    </comment>
    <comment ref="BM90" authorId="1" shapeId="0" xr:uid="{937E663D-5DEF-412B-B5EE-39A60F63278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Ijúsági Ház 120.000</t>
        </r>
      </text>
    </comment>
    <comment ref="BU91" authorId="0" shapeId="0" xr:uid="{6233893A-04E7-4517-A058-F517F564ACDB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kamera+hangtechnika</t>
        </r>
      </text>
    </comment>
    <comment ref="BM93" authorId="1" shapeId="0" xr:uid="{75787578-6945-40DD-A92F-589101C03E8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Ifjúsági Ház</t>
        </r>
      </text>
    </comment>
    <comment ref="BU94" authorId="0" shapeId="0" xr:uid="{57DAE869-15C9-40F5-94C6-6541209C6C0F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Villamoss hiba jav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Dudásné Ulrich Mária</author>
    <author>Balláné Nagy Gabriella</author>
  </authors>
  <commentList>
    <comment ref="BM21" authorId="0" shapeId="0" xr:uid="{CCDA38E4-58AB-4487-92B4-B7E919D2763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Kiszámoltam, az új díjakkal</t>
        </r>
      </text>
    </comment>
    <comment ref="BM35" authorId="0" shapeId="0" xr:uid="{24109848-3C16-49B1-9F2D-30DB8BD4488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Pénzkészlet XII. 31-én</t>
        </r>
      </text>
    </comment>
    <comment ref="BP35" authorId="0" shapeId="0" xr:uid="{98DE2145-36A2-4B8B-BF5A-01FC7564F94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pénzkészlet 10. 30-án</t>
        </r>
      </text>
    </comment>
    <comment ref="BR35" authorId="0" shapeId="0" xr:uid="{4635C02E-724D-42BF-8E67-A42D13E0BB8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XII. 31-i pénzkészlet</t>
        </r>
      </text>
    </comment>
    <comment ref="BU35" authorId="1" shapeId="0" xr:uid="{8401BAEA-EA75-4B70-9E5C-6B72869B0117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2024.12.31. bank+pt.</t>
        </r>
      </text>
    </comment>
    <comment ref="AY37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AX-5,5 millió -32.800 Ft +2,3 millió</t>
        </r>
      </text>
    </comment>
    <comment ref="AY39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5,5 milliót Zsolt levont, mivel aIV. Névben a bevételi oldalon nem szerepel</t>
        </r>
      </text>
    </comment>
    <comment ref="BH39" authorId="0" shapeId="0" xr:uid="{B915DEA3-1408-4D30-AC44-2D157627C01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Mariann dolgozta át a pedagógus béreket</t>
        </r>
      </text>
    </comment>
    <comment ref="BM39" authorId="0" shapeId="0" xr:uid="{28309072-8603-40D4-BCF1-D90CD82E302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A béreket Mariann számolta</t>
        </r>
      </text>
    </comment>
    <comment ref="BP39" authorId="0" shapeId="0" xr:uid="{E7FE5111-3601-4058-A4BA-7557297C08F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+ 7.172.066 Ft a bérmaradvány kifizetése miatt</t>
        </r>
      </text>
    </comment>
    <comment ref="BQ39" authorId="0" shapeId="0" xr:uid="{1B6CDF87-6419-4507-B912-F442EC9F8ED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10% emelés a PM tv. Szerint</t>
        </r>
      </text>
    </comment>
    <comment ref="BR39" authorId="0" shapeId="0" xr:uid="{F570C34E-0E69-4309-AF85-6A74EDE97F4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Mariann adata + a 6. csoport 4 hóra 5.300.000 Ft</t>
        </r>
      </text>
    </comment>
    <comment ref="BR43" authorId="0" shapeId="0" xr:uid="{D9BEB852-EC57-4FC2-B084-C379A6EBB9B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Mariann</t>
        </r>
      </text>
    </comment>
    <comment ref="BR44" authorId="0" shapeId="0" xr:uid="{1973431C-E9A6-4C1C-BB1A-6C7AD5AEC42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Mariann</t>
        </r>
      </text>
    </comment>
    <comment ref="BR45" authorId="0" shapeId="0" xr:uid="{590690B3-2CF0-4BDD-8DE0-58B3DE73B64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Mariann</t>
        </r>
      </text>
    </comment>
    <comment ref="BH48" authorId="0" shapeId="0" xr:uid="{4CB2F80F-1057-4402-B56A-F652121520AE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4 órás kertész és gépész</t>
        </r>
      </text>
    </comment>
    <comment ref="BU51" authorId="0" shapeId="0" xr:uid="{96C052F3-3863-42B9-A7D0-D77F5DCE4E3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Festés (Boros Imre)</t>
        </r>
      </text>
    </comment>
    <comment ref="BH52" authorId="0" shapeId="0" xr:uid="{D24E89FD-30D2-4211-9F2C-DB1B8312A647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13 %</t>
        </r>
      </text>
    </comment>
    <comment ref="BM52" authorId="0" shapeId="0" xr:uid="{3A78E4A1-8CB7-46CB-BB6E-164C4516447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13 %</t>
        </r>
      </text>
    </comment>
    <comment ref="BQ56" authorId="0" shapeId="0" xr:uid="{6B382395-4307-412D-B951-D0A0390B92D2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10 % emelés a dologi kiadásoknál</t>
        </r>
      </text>
    </comment>
    <comment ref="BR56" authorId="0" shapeId="0" xr:uid="{AA893355-8291-407E-A6F7-46813547A3FD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Mariann</t>
        </r>
      </text>
    </comment>
    <comment ref="BM61" authorId="0" shapeId="0" xr:uid="{0EAED11C-CF19-4CE8-879C-9BEF3B84E857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Megemelve a rezsi áremelkedések miatt</t>
        </r>
      </text>
    </comment>
    <comment ref="BR68" authorId="0" shapeId="0" xr:uid="{D60B20DB-D9DE-4410-BB0E-D105E456186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Mariann: Beiskolázás ÓP</t>
        </r>
      </text>
    </comment>
    <comment ref="BI69" authorId="0" shapeId="0" xr:uid="{95A224A5-094C-4E17-AD3D-24F6BDB026E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Előző évi maradvány lett ide könyvelve</t>
        </r>
      </text>
    </comment>
    <comment ref="BR69" authorId="0" shapeId="0" xr:uid="{EA66EF8F-B9C6-4535-98EA-268203DD2C7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Mariann</t>
        </r>
      </text>
    </comment>
    <comment ref="BR70" authorId="0" shapeId="0" xr:uid="{7E7F5258-FD2A-4C28-B2E7-4284B8481652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Mariann</t>
        </r>
      </text>
    </comment>
    <comment ref="BM72" authorId="0" shapeId="0" xr:uid="{FC960C09-196C-43BE-AD6B-DFC76C80B437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18%</t>
        </r>
      </text>
    </comment>
    <comment ref="BU92" authorId="1" shapeId="0" xr:uid="{3814E813-B4EE-4A11-9FB7-D805B56A38E8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klíma+székek</t>
        </r>
      </text>
    </comment>
    <comment ref="BU93" authorId="1" shapeId="0" xr:uid="{FC5629A0-4B93-4285-A0CA-DEAA2F6BE4D8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klíma+székek Áfa</t>
        </r>
      </text>
    </comment>
    <comment ref="BU94" authorId="1" shapeId="0" xr:uid="{41785228-97DA-478A-8BDF-E6AC10B29C80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festés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Dudásné Ulrich Mária</author>
    <author>Balláné Nagy Gabriella</author>
    <author>Gotthard Viktor</author>
  </authors>
  <commentList>
    <comment ref="BI9" authorId="0" shapeId="0" xr:uid="{BE080F32-7E91-470D-8890-2D74C2E8C9CB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választásra és népszámlálásra kapott támogatás</t>
        </r>
      </text>
    </comment>
    <comment ref="BJ9" authorId="0" shapeId="0" xr:uid="{AFB21D5A-FC60-428A-9F66-2D7EB74CBA8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választásra és népszámlálásra kaptuk</t>
        </r>
      </text>
    </comment>
    <comment ref="BM9" authorId="0" shapeId="0" xr:uid="{03B04C00-BB02-4F0C-B258-39F4673A3D6B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Itt a választásra és a népszámlálásra kapott támogatások voltak</t>
        </r>
      </text>
    </comment>
    <comment ref="BH35" authorId="0" shapeId="0" xr:uid="{E0AA8177-7863-4E1D-8E84-AC66B9B9AC87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Pénzkészlet 2021 12 31</t>
        </r>
      </text>
    </comment>
    <comment ref="BM35" authorId="0" shapeId="0" xr:uid="{B646AE88-1773-4C47-8071-ACCEF21720C7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Pénzkészlet XII. 31-én</t>
        </r>
      </text>
    </comment>
    <comment ref="BQ35" authorId="0" shapeId="0" xr:uid="{F139E207-6DBC-4450-BDF5-980B172A1B2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pénzkészlet bank + pénztár</t>
        </r>
      </text>
    </comment>
    <comment ref="BR35" authorId="0" shapeId="0" xr:uid="{C2C9EF24-F829-4AAB-9EE3-EE324A2C5A2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XII.31-i pénzkészlet</t>
        </r>
      </text>
    </comment>
    <comment ref="BT35" authorId="0" shapeId="0" xr:uid="{08785942-8BA9-45F0-89E3-745F76A2988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2023 12 31-i bank + pt.</t>
        </r>
      </text>
    </comment>
    <comment ref="BU35" authorId="1" shapeId="0" xr:uid="{D905DDBB-D6DA-462C-A6FF-EADDCC0BF10A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2024.12.31.bank+pt.</t>
        </r>
      </text>
    </comment>
    <comment ref="W37" authorId="2" shapeId="0" xr:uid="{00000000-0006-0000-0700-000001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Beruházásoktól függ
</t>
        </r>
      </text>
    </comment>
    <comment ref="W39" authorId="2" shapeId="0" xr:uid="{00000000-0006-0000-0700-000002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Alapilletmény emelést kértek (7,8%)
Garantált bérminimum is nőtt (nem érint mindenkit)
Lehet pályázni kiegyenlítő bérrendezési alaptámogatásra / rKT kell majd hozzá</t>
        </r>
      </text>
    </comment>
    <comment ref="AZ39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Alap illetmény</t>
        </r>
      </text>
    </comment>
    <comment ref="BI39" authorId="0" shapeId="0" xr:uid="{26733152-FC9D-4F69-845E-FD242190746A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választásra és népszámlálásra ki kell adni 3.914.010 Ft</t>
        </r>
      </text>
    </comment>
    <comment ref="BL39" authorId="0" shapeId="0" xr:uid="{C75A05F8-DA72-4852-B855-B4179BFE070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választásra és népszámlálásra ki kell adni 3.914.010 Ft</t>
        </r>
      </text>
    </comment>
    <comment ref="BP39" authorId="0" shapeId="0" xr:uid="{CBA6E119-9522-4146-922E-C533A63FBF71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+ 3.017.178 Ft a bérmaradvány szétosztása miatt</t>
        </r>
      </text>
    </comment>
    <comment ref="BR39" authorId="0" shapeId="0" xr:uid="{818D9AAB-4926-4870-A43C-C32C9F552E0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Ildi számítása: átlag 12,5%</t>
        </r>
      </text>
    </comment>
    <comment ref="AZ40" authorId="0" shapeId="0" xr:uid="{00000000-0006-0000-0700-000004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Esküvők díja</t>
        </r>
      </text>
    </comment>
    <comment ref="BM40" authorId="0" shapeId="0" xr:uid="{D9F82417-A4A6-40E8-9ABD-5E60DD1FED2E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esküvői jutalék</t>
        </r>
      </text>
    </comment>
    <comment ref="BR40" authorId="0" shapeId="0" xr:uid="{6EE29F59-3E4A-4F3E-BC7E-DFE41E65FBE1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Esküvői jutalék</t>
        </r>
      </text>
    </comment>
    <comment ref="AZ41" authorId="0" shapeId="0" xr:uid="{00000000-0006-0000-0700-000005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túlóra, helyettesítés</t>
        </r>
      </text>
    </comment>
    <comment ref="BR43" authorId="0" shapeId="0" xr:uid="{9B34DCC2-9CD5-4060-BA55-EE8DF93CDA7B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 fő jubileumi jut.</t>
        </r>
      </text>
    </comment>
    <comment ref="AZ44" authorId="0" shapeId="0" xr:uid="{00000000-0006-0000-0700-000006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Cafetéria</t>
        </r>
      </text>
    </comment>
    <comment ref="BR44" authorId="0" shapeId="0" xr:uid="{38586BCA-AF58-43EB-8F72-8F76B51DEBF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Kafetéria</t>
        </r>
      </text>
    </comment>
    <comment ref="AZ45" authorId="0" shapeId="0" xr:uid="{00000000-0006-0000-0700-000007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utiköltségtérítés</t>
        </r>
      </text>
    </comment>
    <comment ref="W52" authorId="2" shapeId="0" xr:uid="{00000000-0006-0000-0700-000008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alapilletmény emelés miatt nőtt</t>
        </r>
      </text>
    </comment>
    <comment ref="BH52" authorId="0" shapeId="0" xr:uid="{D65FA52A-4154-4D5E-83B8-BEAE922B669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13 %</t>
        </r>
      </text>
    </comment>
    <comment ref="BQ56" authorId="0" shapeId="0" xr:uid="{DAFB009C-4EEF-457D-8A15-5E4A5557FE82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10% emelés a dologi kiadásokra</t>
        </r>
      </text>
    </comment>
    <comment ref="BM61" authorId="0" shapeId="0" xr:uid="{61E9EB2E-D2CB-49C0-A05D-0B8F39BBA40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Megemelve a rezsi áremelkedések miatt</t>
        </r>
      </text>
    </comment>
    <comment ref="BR69" authorId="0" shapeId="0" xr:uid="{622DF622-EE47-451D-A7ED-4669713FF2E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Szabina:
postaköltség emelkedés miatt megemelve.
Kötelező iratselejtezés 900.000 Ft</t>
        </r>
      </text>
    </comment>
    <comment ref="BT69" authorId="0" shapeId="0" xr:uid="{F9B4A3DF-D3F3-4F3D-A50F-CD01FF97EAE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Tiburc Kft. Évi díja már nem lesz</t>
        </r>
      </text>
    </comment>
    <comment ref="BM72" authorId="0" shapeId="0" xr:uid="{FAFF7CF0-CCF5-4BB0-805F-2CEAEF5F255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18% ÁFÁ-val számolva</t>
        </r>
      </text>
    </comment>
    <comment ref="W90" authorId="2" shapeId="0" xr:uid="{00000000-0006-0000-0700-000009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Beruházások itt jelennek meg</t>
        </r>
      </text>
    </comment>
    <comment ref="BU91" authorId="1" shapeId="0" xr:uid="{14A9E36D-4F57-40D8-950D-1CDBB161DC37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Informatikai eszk. Besz.</t>
        </r>
      </text>
    </comment>
    <comment ref="BU94" authorId="1" shapeId="0" xr:uid="{02B02782-0E4A-443B-A5EC-9956D4321F44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kerítés, penészmentesítés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Dudásné Ulrich Mária</author>
    <author>Balláné Nagy Gabriella</author>
    <author>Kabai Eva</author>
    <author>Gotthard Viktor</author>
  </authors>
  <commentList>
    <comment ref="AW1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A B111 - B75 sorok a 2020. módosított előirányzat alapján </t>
        </r>
      </text>
    </comment>
    <comment ref="BH2" authorId="0" shapeId="0" xr:uid="{9B95EC15-176F-48C8-BF35-B31F75E1A7F1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polgármester bértámogatása 3.610.011 Ft kalkulálva + 3 millió kiegészítés 5. lap szerin EBR + Mezőőrre támogatás</t>
        </r>
      </text>
    </comment>
    <comment ref="BL2" authorId="0" shapeId="0" xr:uid="{2EA1846A-3956-4E48-8AA5-4F33BC4383A7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2023. évi megalapozó felmérés eredménye</t>
        </r>
      </text>
    </comment>
    <comment ref="BM2" authorId="0" shapeId="0" xr:uid="{1C3141F0-2C0A-43C2-BF1C-DE1E88EE7D2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állami támogatások pontos összege</t>
        </r>
      </text>
    </comment>
    <comment ref="BQ2" authorId="0" shapeId="0" xr:uid="{26AF02CA-325A-45A9-AFF5-0590E07DE7B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+ 5 % emeléssel tervezünk</t>
        </r>
      </text>
    </comment>
    <comment ref="BU2" authorId="1" shapeId="0" xr:uid="{1DC6A10F-C6C1-4934-A6B7-684F76AE59CC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ebr. Finanszírozási melléklete alapján. Nem változtatható!!! (Polgármester támogatásával megemelve!)</t>
        </r>
      </text>
    </comment>
    <comment ref="BH3" authorId="0" shapeId="0" xr:uid="{DC32930F-1666-45A2-A77F-153E17FAB8E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+ 8.757.180 Ovi bértámogatása</t>
        </r>
      </text>
    </comment>
    <comment ref="BL3" authorId="0" shapeId="0" xr:uid="{0D9D5BA1-DF9B-4341-8F8F-FAB42BF8855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2023. évi megalapozó felmérés eredménye</t>
        </r>
      </text>
    </comment>
    <comment ref="BU3" authorId="1" shapeId="0" xr:uid="{A8E64268-56FF-4FEF-9485-D3992070150D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ebr. Finanszírozási mellékletének adata alapján. Nem változtatható!!</t>
        </r>
      </text>
    </comment>
    <comment ref="BU4" authorId="1" shapeId="0" xr:uid="{7678C8F5-F14F-485E-B088-28209A1BEDB3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ebr. Adatok alapján. Nem változtatható!!!</t>
        </r>
      </text>
    </comment>
    <comment ref="BH5" authorId="0" shapeId="0" xr:uid="{59483991-1B60-41AD-943E-3330FFD2B23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EBR 5. lap kiegészítés 1.800.000 Ft</t>
        </r>
      </text>
    </comment>
    <comment ref="BU5" authorId="1" shapeId="0" xr:uid="{61A09800-2E64-4DAE-BCE9-36C0F4218558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ebr. Adatok alapján nem változhatható!!!</t>
        </r>
      </text>
    </comment>
    <comment ref="BL6" authorId="0" shapeId="0" xr:uid="{B1AF88A7-7E4C-49ED-9F56-62C4556880A1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2023. évi megalapozó felmérés eredménye</t>
        </r>
      </text>
    </comment>
    <comment ref="BU6" authorId="1" shapeId="0" xr:uid="{9FA2478E-31D4-4243-8777-9EC602323DFF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ebr. Adatok alapján. Nem változtatható!!!</t>
        </r>
      </text>
    </comment>
    <comment ref="BH7" authorId="1" shapeId="0" xr:uid="{16CFE026-5287-4CFA-ADCE-AFEBDFFC8FB1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faluház bértámogatása</t>
        </r>
      </text>
    </comment>
    <comment ref="BI7" authorId="0" shapeId="0" xr:uid="{29242510-306A-4A8C-B6E5-AFA62D62F30E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faluház bértámogatása, polgárm. Bértámogatása, iparűzési adókiesés támogatása</t>
        </r>
      </text>
    </comment>
    <comment ref="BM7" authorId="0" shapeId="0" xr:uid="{538AD719-AB3A-4CC2-9070-D77BE432D1E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Faluház bérkiegészítése</t>
        </r>
      </text>
    </comment>
    <comment ref="AX9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5 milliót kaptunk a Kékevező és Piros Lábos rendezvényekre</t>
        </r>
      </text>
    </comment>
    <comment ref="BM9" authorId="0" shapeId="0" xr:uid="{00D406BA-38E3-4C33-B5D7-20B309749A2D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diákmunka, GYME, közfoglalkoztatottakra kapott állami jutt.</t>
        </r>
      </text>
    </comment>
    <comment ref="BH10" authorId="0" shapeId="0" xr:uid="{609AFA0C-BE59-4651-B13B-725085EB68D7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vis maior
kompok-révek
Nemzeti Művelődaési int
+ Ifjúság ház bérpályázat+ablakok+napelem</t>
        </r>
      </text>
    </comment>
    <comment ref="BI10" authorId="0" shapeId="0" xr:uid="{49E7CD3A-3EDF-45FE-816B-BA818BA991C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kompok-révek, Nemz. Műv. Int. 2 x 10 millió, Ifjúsági Ház</t>
        </r>
      </text>
    </comment>
    <comment ref="BM10" authorId="0" shapeId="0" xr:uid="{FAABF291-063B-4679-A14A-B367A78CC9B1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 db TOP PLUSZ-os projekt bevételei</t>
        </r>
      </text>
    </comment>
    <comment ref="BT10" authorId="0" shapeId="0" xr:uid="{D7782469-4A45-4BFA-9ABA-EE9CC51D61CB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BM-s várható Utak pályázat</t>
        </r>
      </text>
    </comment>
    <comment ref="AI11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Dudásné Ulrich Mária: folyamatban lévő pályázatok még várható bevétele</t>
        </r>
      </text>
    </comment>
    <comment ref="AX11" authorId="0" shapeId="0" xr:uid="{00000000-0006-0000-0800-000004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Zsolt</t>
        </r>
      </text>
    </comment>
    <comment ref="BH11" authorId="0" shapeId="0" xr:uid="{B7DCAAA1-0212-4ECD-9222-67E18ABE9BA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MFP + EU-s + BM-s  + vízitúrisztika fejl. 
pályázatok</t>
        </r>
      </text>
    </comment>
    <comment ref="BI11" authorId="0" shapeId="0" xr:uid="{409D978B-5D1B-4768-921D-B4A25B6457D1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MFP, EU-s pályázatok, TOP-PLUS Zöldterület</t>
        </r>
      </text>
    </comment>
    <comment ref="BO11" authorId="0" shapeId="0" xr:uid="{EF14CF48-A8AF-43AB-9B0D-3468F8C8B82D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 db TOP PLUSZ-os pályázat bevétele</t>
        </r>
      </text>
    </comment>
    <comment ref="BM12" authorId="0" shapeId="0" xr:uid="{AAB3F037-AD23-4BC1-9B14-02F7E5E06EAD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+ 10 millió behajtásokból</t>
        </r>
      </text>
    </comment>
    <comment ref="BT12" authorId="0" shapeId="0" xr:uid="{87FC37FE-A1C0-4796-93FD-D526379FB13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telekadó többlet + behajtás</t>
        </r>
      </text>
    </comment>
    <comment ref="AX13" authorId="0" shapeId="0" xr:uid="{00000000-0006-0000-0800-000005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Iparűzési adó fele mint 2020-ban!</t>
        </r>
      </text>
    </comment>
    <comment ref="AI16" authorId="0" shapeId="0" xr:uid="{00000000-0006-0000-0800-000006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+ 3 millió kommunális  adó emelés</t>
        </r>
      </text>
    </comment>
    <comment ref="BH18" authorId="0" shapeId="0" xr:uid="{76541128-444F-4157-A813-4D7EA9F9D6A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Közterületek bérleti díjai </t>
        </r>
        <r>
          <rPr>
            <sz val="8"/>
            <color indexed="81"/>
            <rFont val="Tahoma"/>
            <family val="2"/>
            <charset val="238"/>
          </rPr>
          <t>+ Vízmű bérleti díjjal megemelve származó bevétele
+Ifjúsági Ház bevételei 500.000</t>
        </r>
      </text>
    </comment>
    <comment ref="BM18" authorId="0" shapeId="0" xr:uid="{A7088E55-26E4-419D-AA4C-88C4920C39C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Ebből 1.200.000 esküvők bevétele</t>
        </r>
      </text>
    </comment>
    <comment ref="E19" authorId="2" shapeId="0" xr:uid="{00000000-0006-0000-0800-000007000000}">
      <text>
        <r>
          <rPr>
            <b/>
            <sz val="9"/>
            <color indexed="81"/>
            <rFont val="Tahoma"/>
            <family val="2"/>
            <charset val="238"/>
          </rPr>
          <t>Kabai Eva:</t>
        </r>
        <r>
          <rPr>
            <sz val="9"/>
            <color indexed="81"/>
            <rFont val="Tahoma"/>
            <family val="2"/>
            <charset val="238"/>
          </rPr>
          <t xml:space="preserve">
szemétszállítási díj és étkezési díj kinnlevőségek tervezett behajtási összege 15millió foint volt
</t>
        </r>
      </text>
    </comment>
    <comment ref="BT20" authorId="0" shapeId="0" xr:uid="{EFFD38CD-4E86-4F97-A6F4-5B23C5726DB2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Szürkő sziget bérleti díja</t>
        </r>
      </text>
    </comment>
    <comment ref="BU20" authorId="1" shapeId="0" xr:uid="{145D7629-5287-45B6-9542-874E82417F1A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Szűrkő 2024, 2025 évi díja</t>
        </r>
      </text>
    </comment>
    <comment ref="BT22" authorId="0" shapeId="0" xr:uid="{DE08550E-D26B-431A-A957-D350C82DAB9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Konyha projekt ÁFÁ-jával növelve</t>
        </r>
      </text>
    </comment>
    <comment ref="BH26" authorId="0" shapeId="0" xr:uid="{3D1DB35E-4BF4-4A74-8D26-2E28DA087E8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zajvédelmi bírság
</t>
        </r>
      </text>
    </comment>
    <comment ref="W27" authorId="3" shapeId="0" xr:uid="{00000000-0006-0000-0800-000008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átlag 5 telek/év
+ 10 telkes szerződés reális aránya</t>
        </r>
      </text>
    </comment>
    <comment ref="AX27" authorId="0" shapeId="0" xr:uid="{00000000-0006-0000-0800-000009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Zsolt!</t>
        </r>
      </text>
    </comment>
    <comment ref="AY27" authorId="0" shapeId="0" xr:uid="{00000000-0006-0000-0800-00000A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7" authorId="0" shapeId="0" xr:uid="{F96FDE54-E4C4-4E71-B654-4D9E110AA53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Zsolt szerint</t>
        </r>
      </text>
    </comment>
    <comment ref="BM27" authorId="0" shapeId="0" xr:uid="{B381E341-0BF4-4AD3-BBE8-9A50A67044DA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Zsolt szerint!</t>
        </r>
      </text>
    </comment>
    <comment ref="AI30" authorId="0" shapeId="0" xr:uid="{00000000-0006-0000-0800-00000B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Vízmű 1 % 2020. évi + 2019. maradványt hozzátenni
</t>
        </r>
      </text>
    </comment>
    <comment ref="AX30" authorId="0" shapeId="0" xr:uid="{00000000-0006-0000-0800-00000C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Vízműves 1 % várható (2022-es)</t>
        </r>
      </text>
    </comment>
    <comment ref="BH30" authorId="0" shapeId="0" xr:uid="{EC39FA13-864F-4483-B89C-9F53E56970E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Vízművek 1 %
2021 II- fév.
2022. évi</t>
        </r>
      </text>
    </comment>
    <comment ref="BI30" authorId="0" shapeId="0" xr:uid="{E014A173-4DE7-4E70-A6A4-BD10069A40FB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78.482.720 Ft 2021. évi + 20.000.000 Ft 2022. évi előleg VÍZMŰVEK 0,5 %</t>
        </r>
      </text>
    </comment>
    <comment ref="BM30" authorId="0" shapeId="0" xr:uid="{5859B5C4-ACF8-4F2D-83BC-B381AC12755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Vízművek 0,5%-a</t>
        </r>
      </text>
    </comment>
    <comment ref="BO30" authorId="0" shapeId="0" xr:uid="{2BBCE3B5-F851-4735-8C21-E6127910F61B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Munkáltatói kölcsön visszafizetése</t>
        </r>
      </text>
    </comment>
    <comment ref="BR30" authorId="0" shapeId="0" xr:uid="{12F89B7A-EB07-471D-85FC-4B328DB655F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Vízművek 0,5 %</t>
        </r>
      </text>
    </comment>
    <comment ref="BS30" authorId="0" shapeId="0" xr:uid="{23208983-2FC1-4483-9012-906DD122692A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Főv. Vízművek 0,5%</t>
        </r>
      </text>
    </comment>
    <comment ref="L33" authorId="2" shapeId="0" xr:uid="{00000000-0006-0000-0800-00000D000000}">
      <text>
        <r>
          <rPr>
            <b/>
            <sz val="9"/>
            <color indexed="81"/>
            <rFont val="Tahoma"/>
            <family val="2"/>
            <charset val="238"/>
          </rPr>
          <t>Kabai Eva:</t>
        </r>
        <r>
          <rPr>
            <sz val="9"/>
            <color indexed="81"/>
            <rFont val="Tahoma"/>
            <family val="2"/>
            <charset val="238"/>
          </rPr>
          <t xml:space="preserve">
horányi csatornázás (240eFt) 2018.évre eső része</t>
        </r>
      </text>
    </comment>
    <comment ref="AK33" authorId="0" shapeId="0" xr:uid="{00000000-0006-0000-0800-00000E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ivóvíz és csatorna hozzájárulás várható
</t>
        </r>
      </text>
    </comment>
    <comment ref="AX33" authorId="0" shapeId="0" xr:uid="{00000000-0006-0000-0800-00000F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Csatorna és ivóvíz befizetések 2021-re várható része
</t>
        </r>
      </text>
    </comment>
    <comment ref="BH33" authorId="0" shapeId="0" xr:uid="{94B60EEF-AD53-4C40-B4FF-D1317117F327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ivóvíz és csatorna befizetések</t>
        </r>
      </text>
    </comment>
    <comment ref="BM33" authorId="0" shapeId="0" xr:uid="{2D2A58A8-F1F0-477C-A113-6C0289F23F6E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ivóvíz fejlesztés várható befizetések</t>
        </r>
      </text>
    </comment>
    <comment ref="BR33" authorId="0" shapeId="0" xr:uid="{A5199567-F928-490A-A773-16C9ADF947A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Csatorna és ivóvíz hozzájárulás</t>
        </r>
      </text>
    </comment>
    <comment ref="BL34" authorId="0" shapeId="0" xr:uid="{4CECB8B5-0347-42F0-9020-7975366BD02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Folyószámlahitel bevétele</t>
        </r>
      </text>
    </comment>
    <comment ref="BM34" authorId="0" shapeId="0" xr:uid="{794AB8CD-73FC-4B3A-988D-6A6630181C0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50 milliós hitel felvétele</t>
        </r>
      </text>
    </comment>
    <comment ref="BR34" authorId="0" shapeId="0" xr:uid="{10E089C9-C199-4BBA-B377-8D3C91F38E3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Folyószámla hitel</t>
        </r>
      </text>
    </comment>
    <comment ref="AI35" authorId="0" shapeId="0" xr:uid="{00000000-0006-0000-0800-000010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Bankszámlákon lévő pénz
</t>
        </r>
      </text>
    </comment>
    <comment ref="BH35" authorId="0" shapeId="0" xr:uid="{B730C8F0-6928-4B73-8AF9-7027D77ADB3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pénzeszközök 2021 12 31</t>
        </r>
      </text>
    </comment>
    <comment ref="BM35" authorId="0" shapeId="0" xr:uid="{19FB7B73-0EE4-45BF-A8AC-6056179AAD9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XII. 31-i pénzkészlet + TOP PLUSZ bankszámlán megmaradt része</t>
        </r>
      </text>
    </comment>
    <comment ref="BP35" authorId="0" shapeId="0" xr:uid="{2E32D481-82CD-4816-8815-A56A7A2086DB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Bankszámlákon és pénztárban lévő pénzek összesen</t>
        </r>
      </text>
    </comment>
    <comment ref="BQ35" authorId="0" shapeId="0" xr:uid="{39D9DF39-1C91-4929-B154-6299FE7453F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pénztár+bankszámlák +Top Plusz szlák egyenlege</t>
        </r>
      </text>
    </comment>
    <comment ref="BR35" authorId="0" shapeId="0" xr:uid="{54C945D0-A3E0-464C-BC81-8033B781BC7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XII. 31-i pénzkészlet</t>
        </r>
      </text>
    </comment>
    <comment ref="BT35" authorId="0" shapeId="0" xr:uid="{959A2829-4767-43F9-A12E-E854A2ACF941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2023 12 31-i bank+pt.</t>
        </r>
      </text>
    </comment>
    <comment ref="BU35" authorId="1" shapeId="0" xr:uid="{5FEF8F28-4857-44E2-857F-BCFE528FC4CF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2024.12.31. maradvány összeg</t>
        </r>
      </text>
    </comment>
    <comment ref="BH36" authorId="0" shapeId="0" xr:uid="{1846679A-CCA1-47BB-9C02-37E202ABF76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decemberi MÁK előleg</t>
        </r>
      </text>
    </comment>
    <comment ref="A37" authorId="2" shapeId="0" xr:uid="{00000000-0006-0000-0800-000011000000}">
      <text>
        <r>
          <rPr>
            <b/>
            <sz val="9"/>
            <color indexed="81"/>
            <rFont val="Tahoma"/>
            <family val="2"/>
            <charset val="238"/>
          </rPr>
          <t>Kabai Eva:</t>
        </r>
        <r>
          <rPr>
            <sz val="9"/>
            <color indexed="81"/>
            <rFont val="Tahoma"/>
            <family val="2"/>
            <charset val="238"/>
          </rPr>
          <t xml:space="preserve">
B814</t>
        </r>
      </text>
    </comment>
    <comment ref="AZ39" authorId="0" shapeId="0" xr:uid="{00000000-0006-0000-0800-000012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konkrét adat</t>
        </r>
      </text>
    </comment>
    <comment ref="BH39" authorId="0" shapeId="0" xr:uid="{9F2A87D5-8E66-4330-A235-E875CF9C55A2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Ifjúsági ház bér + Védőnő és Adél emelése: 3.343.261 + Mezőőr bére</t>
        </r>
      </text>
    </comment>
    <comment ref="BP39" authorId="0" shapeId="0" xr:uid="{E7CA54AD-9123-4264-AF61-63CE46E4534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A kiosztott bérmaradványt itt adtam hozzá szochóstól + 3.836.246 Ft</t>
        </r>
      </text>
    </comment>
    <comment ref="BQ39" authorId="0" shapeId="0" xr:uid="{F96C9EB9-5959-4E8C-9D4A-F4A221B0436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A 2024. évi bérek 10%-al lettek emelve a PM tv. alapján</t>
        </r>
      </text>
    </comment>
    <comment ref="BR39" authorId="0" shapeId="0" xr:uid="{A48DF3FC-3857-4A4D-A6DF-004CB0AF03C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A kifizetett bérmaradvány nélküli bértömeg 10 %-al emelve.</t>
        </r>
      </text>
    </comment>
    <comment ref="BS39" authorId="0" shapeId="0" xr:uid="{AAC7D856-C0B1-4C26-8C1C-978FE52684DA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+ 9 millió Ft a gyermekorvos bérének az a része, amit Szigetmonostor fizet+ MZS szabadságmegváltás</t>
        </r>
      </text>
    </comment>
    <comment ref="BO42" authorId="0" shapeId="0" xr:uid="{B98173CE-41F7-4EBB-B601-187E556F39D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Tóth Sándor végkielégítése</t>
        </r>
      </text>
    </comment>
    <comment ref="BH43" authorId="0" shapeId="0" xr:uid="{03EF1508-A247-4790-A913-EAFDDADE38F2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Védőnő + valaki</t>
        </r>
      </text>
    </comment>
    <comment ref="BM43" authorId="0" shapeId="0" xr:uid="{3284F251-FA29-4BA9-911C-202B8242702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3 fő</t>
        </r>
      </text>
    </comment>
    <comment ref="AZ44" authorId="0" shapeId="0" xr:uid="{00000000-0006-0000-0800-000013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konkrét adat</t>
        </r>
      </text>
    </comment>
    <comment ref="BH44" authorId="0" shapeId="0" xr:uid="{9BFE0DAE-D98B-4E3F-A784-911030781C9A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Mezőőr fél kafetériája</t>
        </r>
      </text>
    </comment>
    <comment ref="BU48" authorId="1" shapeId="0" xr:uid="{43024526-834E-4978-B1F9-5FCDC7191B2E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1.000.000.- Gyermekorvos szabadság megváltása</t>
        </r>
      </text>
    </comment>
    <comment ref="AZ49" authorId="0" shapeId="0" xr:uid="{00000000-0006-0000-0800-000014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konkrét adat</t>
        </r>
      </text>
    </comment>
    <comment ref="BH49" authorId="0" shapeId="0" xr:uid="{52FF995A-50C8-47AB-9F7F-4A1F7E2D5A5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Alpolgármester díjának emelése</t>
        </r>
      </text>
    </comment>
    <comment ref="BM49" authorId="0" shapeId="0" xr:uid="{AFA020D8-47F8-493F-91C6-2BF2A5FDE14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2022. évi tény alapján</t>
        </r>
      </text>
    </comment>
    <comment ref="BU50" authorId="0" shapeId="0" xr:uid="{1EED7275-7BA8-4859-BC4F-0138E4642D6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Vakli + sofőrök</t>
        </r>
      </text>
    </comment>
    <comment ref="BH51" authorId="0" shapeId="0" xr:uid="{CCB698F1-BA62-499C-A9F1-C83A962668A2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Ifjúsági ház 260.000 + Szűr Timi ktg.térítés</t>
        </r>
      </text>
    </comment>
    <comment ref="BM51" authorId="0" shapeId="0" xr:uid="{616ED95C-2FB4-4479-8426-2CBC9A42DBA2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2022. tény alapján</t>
        </r>
      </text>
    </comment>
    <comment ref="AZ52" authorId="0" shapeId="0" xr:uid="{00000000-0006-0000-0800-000015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konkrét adat</t>
        </r>
      </text>
    </comment>
    <comment ref="BH52" authorId="0" shapeId="0" xr:uid="{57F3CD1E-3B4F-4A22-9352-7762D794F6E6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2022-ben 13 %
+ Ifjúsági ház 209.300</t>
        </r>
      </text>
    </comment>
    <comment ref="BH57" authorId="0" shapeId="0" xr:uid="{B876F15D-34F3-4C73-A8D9-83AFD5BA8868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Ifjúsági ház 200.000</t>
        </r>
      </text>
    </comment>
    <comment ref="BR59" authorId="0" shapeId="0" xr:uid="{82057A75-40B6-4D8A-AAB9-98B21A8901C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ITEX</t>
        </r>
      </text>
    </comment>
    <comment ref="BH61" authorId="0" shapeId="0" xr:uid="{8D34BF2E-4E1F-47A3-ACCE-8928F44661ED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Ifjúsági ház 1 millió</t>
        </r>
      </text>
    </comment>
    <comment ref="BM61" authorId="0" shapeId="0" xr:uid="{C4636E29-4D0B-4886-9117-AD71AAADF33C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Áremelkedésekkel számolva: áram: 2,2 szeres, gáz 5,2 szeres szorzóval</t>
        </r>
      </text>
    </comment>
    <comment ref="BU65" authorId="0" shapeId="0" xr:uid="{7288867D-A73A-44BF-A68A-C160D64FEAAB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kikötő + stég bérlése</t>
        </r>
      </text>
    </comment>
    <comment ref="BU68" authorId="0" shapeId="0" xr:uid="{1C635E2A-45BB-4B38-B772-FA272A5EE04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ügyvédi és számviteli szolgáltatás</t>
        </r>
      </text>
    </comment>
    <comment ref="AX69" authorId="0" shapeId="0" xr:uid="{00000000-0006-0000-0800-000016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- Újságoló 3 millió
- Rendezvények 3,2 millió</t>
        </r>
      </text>
    </comment>
    <comment ref="BI69" authorId="0" shapeId="0" xr:uid="{8353B11D-47D9-4462-8D23-4FAAA79A9D4E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Nemzeti Műv. Int. 10.000.000 Ft pályázat nettó összege (-ÁFA)</t>
        </r>
      </text>
    </comment>
    <comment ref="BS69" authorId="0" shapeId="0" xr:uid="{2AA2E430-70A7-4576-8B4F-5BCF1E6F110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4 millió Ft az asszisztens bére a gyermekorvos mellett</t>
        </r>
      </text>
    </comment>
    <comment ref="BU69" authorId="1" shapeId="0" xr:uid="{580DEB00-BF87-484F-80B1-6418C58F5B3B}">
      <text>
        <r>
          <rPr>
            <b/>
            <sz val="9"/>
            <color indexed="81"/>
            <rFont val="Tahoma"/>
            <family val="2"/>
            <charset val="238"/>
          </rPr>
          <t>Balláné Nagy Gabriella:</t>
        </r>
        <r>
          <rPr>
            <sz val="9"/>
            <color indexed="81"/>
            <rFont val="Tahoma"/>
            <family val="2"/>
            <charset val="238"/>
          </rPr>
          <t xml:space="preserve">
Közkifolyók leszerelése 1.700.000.-</t>
        </r>
      </text>
    </comment>
    <comment ref="BI72" authorId="0" shapeId="0" xr:uid="{07414507-F247-42C8-924C-3DC2D51BC22B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NKH kulturális páklyázat ÁFÁ-ja</t>
        </r>
      </text>
    </comment>
    <comment ref="AL73" authorId="0" shapeId="0" xr:uid="{00000000-0006-0000-0800-000017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ez attól függ, mennyi lesz a FAD és telek utáni ÁFA
k67-en tervezve
</t>
        </r>
      </text>
    </comment>
    <comment ref="AX73" authorId="0" shapeId="0" xr:uid="{00000000-0006-0000-0800-000018000000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ez az összeg csak a 2020. évi befizetendő</t>
        </r>
      </text>
    </comment>
    <comment ref="BM73" authorId="0" shapeId="0" xr:uid="{C04BA1C7-2B8F-4EBA-A715-49FF8CC03F6E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fordított ÁFA saccolva</t>
        </r>
      </text>
    </comment>
    <comment ref="BM74" authorId="0" shapeId="0" xr:uid="{F6B16FF4-6FB1-4923-8D51-4A0D86E552F5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Hitelkamat + egyéb a hitelhez kapcs. díjak</t>
        </r>
      </text>
    </comment>
    <comment ref="W81" authorId="3" shapeId="0" xr:uid="{00000000-0006-0000-0800-000019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Bursa Hungarica
Határozat van</t>
        </r>
      </text>
    </comment>
    <comment ref="W82" authorId="3" shapeId="0" xr:uid="{00000000-0006-0000-0800-00001A000000}">
      <text>
        <r>
          <rPr>
            <b/>
            <sz val="9"/>
            <color indexed="81"/>
            <rFont val="Segoe UI"/>
            <family val="2"/>
            <charset val="238"/>
          </rPr>
          <t>Gotthard Viktor:</t>
        </r>
        <r>
          <rPr>
            <sz val="9"/>
            <color indexed="81"/>
            <rFont val="Segoe UI"/>
            <family val="2"/>
            <charset val="238"/>
          </rPr>
          <t xml:space="preserve">
segélyekből jön</t>
        </r>
      </text>
    </comment>
    <comment ref="BU83" authorId="0" shapeId="0" xr:uid="{6C6E2407-2D20-49B3-86CC-B3F053A73361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visszafizetés a MÁK-nak (kötelező)</t>
        </r>
      </text>
    </comment>
    <comment ref="E86" authorId="2" shapeId="0" xr:uid="{00000000-0006-0000-0800-00001B000000}">
      <text>
        <r>
          <rPr>
            <b/>
            <sz val="9"/>
            <color indexed="81"/>
            <rFont val="Tahoma"/>
            <family val="2"/>
            <charset val="238"/>
          </rPr>
          <t>Kabai Eva:</t>
        </r>
        <r>
          <rPr>
            <sz val="9"/>
            <color indexed="81"/>
            <rFont val="Tahoma"/>
            <family val="2"/>
            <charset val="238"/>
          </rPr>
          <t xml:space="preserve">
kompok révekkel együtt</t>
        </r>
      </text>
    </comment>
    <comment ref="BI90" authorId="0" shapeId="0" xr:uid="{A8EE6E45-53C0-4A96-8A75-8EA92891E4D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+ TOP-PLUSZ Zöldterület beruházás felhasználása (nettója)</t>
        </r>
      </text>
    </comment>
    <comment ref="BM90" authorId="0" shapeId="0" xr:uid="{239EEBC7-7D8E-4104-A19B-F0DE153E5A09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Előző évek áthúzódó  projektjei + TOP PLUSZ nem teljesített része</t>
        </r>
      </text>
    </comment>
    <comment ref="BQ90" authorId="0" shapeId="0" xr:uid="{7BDA0EC4-2E81-47CC-9765-329D81528E7F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Kompok-révek, 3 db TOP PLUSZ még el nem használt része, Víziközmű áthúzódó</t>
        </r>
      </text>
    </comment>
    <comment ref="BM93" authorId="0" shapeId="0" xr:uid="{1FD29ECF-8C1F-4D06-8B75-34D0AE125F0E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Áthúzódó beruházások ÁFÁ-ja + a Nettós projektek áfája</t>
        </r>
      </text>
    </comment>
    <comment ref="BI98" authorId="0" shapeId="0" xr:uid="{E4F05437-1F74-43AD-9DEC-84CC96557227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kompok-révek felújításának támogatása</t>
        </r>
      </text>
    </comment>
    <comment ref="BM99" authorId="0" shapeId="0" xr:uid="{269D88D5-8D94-4345-A054-D7310EC66BD4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folyószámla hitel visszafizetése</t>
        </r>
      </text>
    </comment>
    <comment ref="BR99" authorId="0" shapeId="0" xr:uid="{F7487C7B-FC17-4C23-A8FC-7CB5C8C9AD1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Folyószámla hitel kiadási oldala</t>
        </r>
      </text>
    </comment>
    <comment ref="L100" authorId="2" shapeId="0" xr:uid="{00000000-0006-0000-0800-00001C000000}">
      <text>
        <r>
          <rPr>
            <b/>
            <sz val="9"/>
            <color indexed="81"/>
            <rFont val="Tahoma"/>
            <family val="2"/>
            <charset val="238"/>
          </rPr>
          <t>Kabai Eva:</t>
        </r>
        <r>
          <rPr>
            <sz val="9"/>
            <color indexed="81"/>
            <rFont val="Tahoma"/>
            <family val="2"/>
            <charset val="238"/>
          </rPr>
          <t xml:space="preserve">
megelőlegezés</t>
        </r>
      </text>
    </comment>
    <comment ref="BM100" authorId="0" shapeId="0" xr:uid="{C8142F33-64A6-4836-8279-46CFA3D7549A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decemberi előleg visszafizetése</t>
        </r>
      </text>
    </comment>
    <comment ref="BI101" authorId="0" shapeId="0" xr:uid="{E8B26EA2-2570-4B61-A2B1-A1DCD8766AE3}">
      <text>
        <r>
          <rPr>
            <b/>
            <sz val="9"/>
            <color indexed="81"/>
            <rFont val="Tahoma"/>
            <family val="2"/>
            <charset val="238"/>
          </rPr>
          <t>Dudásné Ulrich Mária:</t>
        </r>
        <r>
          <rPr>
            <sz val="9"/>
            <color indexed="81"/>
            <rFont val="Tahoma"/>
            <family val="2"/>
            <charset val="238"/>
          </rPr>
          <t xml:space="preserve">
Bölcsőde előirányzat emelése miatt 10 millióval több</t>
        </r>
      </text>
    </comment>
  </commentList>
</comments>
</file>

<file path=xl/sharedStrings.xml><?xml version="1.0" encoding="utf-8"?>
<sst xmlns="http://schemas.openxmlformats.org/spreadsheetml/2006/main" count="2583" uniqueCount="818">
  <si>
    <t>2016.01.18. TERV</t>
  </si>
  <si>
    <t>2016-évi teljesítés</t>
  </si>
  <si>
    <t>2017. évi előirányzat</t>
  </si>
  <si>
    <t>Bevételek összesen</t>
  </si>
  <si>
    <t>Kiadások összesen</t>
  </si>
  <si>
    <t>Egyenleg összesen</t>
  </si>
  <si>
    <t>2017-évi előirányzat</t>
  </si>
  <si>
    <t>2015. terv</t>
  </si>
  <si>
    <t>B111</t>
  </si>
  <si>
    <t>B112</t>
  </si>
  <si>
    <t>B114</t>
  </si>
  <si>
    <t>B115</t>
  </si>
  <si>
    <t>B16</t>
  </si>
  <si>
    <t>B21</t>
  </si>
  <si>
    <t>B34</t>
  </si>
  <si>
    <t>B351</t>
  </si>
  <si>
    <t>B354</t>
  </si>
  <si>
    <t>B355</t>
  </si>
  <si>
    <t>B36</t>
  </si>
  <si>
    <t>B401</t>
  </si>
  <si>
    <t>B402</t>
  </si>
  <si>
    <t>B403</t>
  </si>
  <si>
    <t>B404</t>
  </si>
  <si>
    <t>B406</t>
  </si>
  <si>
    <t>B408</t>
  </si>
  <si>
    <t>B410</t>
  </si>
  <si>
    <t>B73</t>
  </si>
  <si>
    <t>B8131</t>
  </si>
  <si>
    <t>B816</t>
  </si>
  <si>
    <t>K110</t>
  </si>
  <si>
    <t>K1101</t>
  </si>
  <si>
    <t>K1104</t>
  </si>
  <si>
    <t>K1105</t>
  </si>
  <si>
    <t>K1106</t>
  </si>
  <si>
    <t>K1107</t>
  </si>
  <si>
    <t>K1109</t>
  </si>
  <si>
    <t>K1110</t>
  </si>
  <si>
    <t>K122</t>
  </si>
  <si>
    <t>K123</t>
  </si>
  <si>
    <t>K21</t>
  </si>
  <si>
    <t>K24</t>
  </si>
  <si>
    <t>K25</t>
  </si>
  <si>
    <t>K27</t>
  </si>
  <si>
    <t>K312</t>
  </si>
  <si>
    <t>K321</t>
  </si>
  <si>
    <t>K322</t>
  </si>
  <si>
    <t>K333</t>
  </si>
  <si>
    <t>K334</t>
  </si>
  <si>
    <t>K335</t>
  </si>
  <si>
    <t>K337</t>
  </si>
  <si>
    <t>K341</t>
  </si>
  <si>
    <t>K351</t>
  </si>
  <si>
    <t>K353</t>
  </si>
  <si>
    <t>K355</t>
  </si>
  <si>
    <t>K42</t>
  </si>
  <si>
    <t>K44</t>
  </si>
  <si>
    <t>K45</t>
  </si>
  <si>
    <t>K46</t>
  </si>
  <si>
    <t>K47</t>
  </si>
  <si>
    <t>K48</t>
  </si>
  <si>
    <t>K506</t>
  </si>
  <si>
    <t>K508</t>
  </si>
  <si>
    <t>K511</t>
  </si>
  <si>
    <t>K513</t>
  </si>
  <si>
    <t>K61</t>
  </si>
  <si>
    <t>K62</t>
  </si>
  <si>
    <t>Bölcsőde</t>
  </si>
  <si>
    <t>K63</t>
  </si>
  <si>
    <t>K64</t>
  </si>
  <si>
    <t>K67</t>
  </si>
  <si>
    <t>K71</t>
  </si>
  <si>
    <t>K74</t>
  </si>
  <si>
    <t>K915</t>
  </si>
  <si>
    <t>Faluház</t>
  </si>
  <si>
    <t>Óvoda</t>
  </si>
  <si>
    <t>2016.évi támogatások</t>
  </si>
  <si>
    <t>fajlagos összeg</t>
  </si>
  <si>
    <t>számított támogatás (Ft)</t>
  </si>
  <si>
    <t>2015. MÁK eredeti előirányzat</t>
  </si>
  <si>
    <t>2016. évi előirányzat</t>
  </si>
  <si>
    <t>2.sz. melléklet I.1.a)  önkormányzati hivatal működtetésének támogatása</t>
  </si>
  <si>
    <t>2.sz. melléklet I.1.b.a)  zöldterület -gazdálkodással kapcsolatos feladatok</t>
  </si>
  <si>
    <t>2.sz. melléklet I.1.b.b) közvilágítással kapcsolatos feladatok ellátása</t>
  </si>
  <si>
    <t>2.sz. melléklet I.1.b.c) köztemető fenntartásával kapcsolatos feladatok ellátása</t>
  </si>
  <si>
    <t>2.sz. melléklet I.1.b.d) közutak fenntartása</t>
  </si>
  <si>
    <t>2.sz. melléklet I.1.c) egyéb önkormányzati feladatok ellátása</t>
  </si>
  <si>
    <t>2.sz. melléklet I.1.d) lakott külterülettel kapcsolatos feladatok ellátása</t>
  </si>
  <si>
    <t>2.sz. melléklet I.1.e) üdülőhelyi feladatok</t>
  </si>
  <si>
    <t>2.sz. melléklet V.4.) beszámítás támogatás csökkentése</t>
  </si>
  <si>
    <t>20%.</t>
  </si>
  <si>
    <t>2.sz. melléklet I.2.6.) kompenzáció 2014.évre</t>
  </si>
  <si>
    <t>2.sz. melléklet II.1.b)  óvodapedagógusok átlagbére és közterhek</t>
  </si>
  <si>
    <t>2.sz. melléklet II.1.b)  óvodapedagógusok pótlólagos bértámogatása</t>
  </si>
  <si>
    <t>2.sz. melléklet II.1.c) óvodapedagógusok munkáját közvetlenül segítők bértámogatása</t>
  </si>
  <si>
    <t>2.sz. melléklet II.2) óvodaműködtetés támogatása</t>
  </si>
  <si>
    <t>2.sz. melléklet II.5) óvodapedagógusok minősítéséhez kiegészítő pót támogatás alapfokú mester</t>
  </si>
  <si>
    <t>2.sz. melléklet II.5) óvodapedagógusok minősítéséhez kiegészítő pót támogatás alapf. Ped2</t>
  </si>
  <si>
    <t>80%.</t>
  </si>
  <si>
    <t>2.sz. melléklet III.1)  rendszeres szociális segély</t>
  </si>
  <si>
    <t>90%.</t>
  </si>
  <si>
    <t>2.sz. melléklet III.2)   szociális feladatok ellátása</t>
  </si>
  <si>
    <t>2.sz. melléklet III.3) szociális étkeztetés</t>
  </si>
  <si>
    <t>2.sz. melléklet III.3.ja) Bölcsődei ellátás</t>
  </si>
  <si>
    <t>2.sz. melléklet IV.1.d) települési könyvtár támogatása</t>
  </si>
  <si>
    <t>3.sz. melléklet III., 2.) Kompok révek felújítása</t>
  </si>
  <si>
    <t>70%.</t>
  </si>
  <si>
    <t>Megnevezés</t>
  </si>
  <si>
    <t>Rovatrend</t>
  </si>
  <si>
    <t>Korm. funkció</t>
  </si>
  <si>
    <t>2015.11.16 teljesítés</t>
  </si>
  <si>
    <t>2016.évi terv</t>
  </si>
  <si>
    <t xml:space="preserve">Tanulmányi kirándulás </t>
  </si>
  <si>
    <t>k4818</t>
  </si>
  <si>
    <t>virágok</t>
  </si>
  <si>
    <t>polók</t>
  </si>
  <si>
    <t>néptánc jelmez</t>
  </si>
  <si>
    <t xml:space="preserve">Művészeti iskolai tandíj </t>
  </si>
  <si>
    <t xml:space="preserve">német tábor  </t>
  </si>
  <si>
    <t>Köztemetés</t>
  </si>
  <si>
    <t>k4822</t>
  </si>
  <si>
    <t>Gyermeknevelési támogatás</t>
  </si>
  <si>
    <t>kamatmentes kölcsön</t>
  </si>
  <si>
    <t>Rendkívüli települési támogatás</t>
  </si>
  <si>
    <t>temetési segély</t>
  </si>
  <si>
    <t>ápolási támogatás</t>
  </si>
  <si>
    <t>gyógyszer támogatás</t>
  </si>
  <si>
    <t>lakásfenntartási támogatás</t>
  </si>
  <si>
    <t>Mikulás</t>
  </si>
  <si>
    <t>gyermek és ifjúságvédelem</t>
  </si>
  <si>
    <t xml:space="preserve">564.100,- tanulmámyi kirándulás, </t>
  </si>
  <si>
    <t>Felhasználási hely</t>
  </si>
  <si>
    <t>Beruházás tárgya</t>
  </si>
  <si>
    <t>bruttó</t>
  </si>
  <si>
    <t>Mindenképpen szükséges fejlesztések</t>
  </si>
  <si>
    <t>Nem feltétlenül szükséges fejlesztések</t>
  </si>
  <si>
    <t>összesen</t>
  </si>
  <si>
    <t>Fűnyíró kistraktor (Viking MT 4097 SX): 1 db</t>
  </si>
  <si>
    <t>A Szentendrei-sziget állatvilága - Kiadvány iskoláknak és óvodáknak Kuthán Tamás fotóival és érdekes leírásokkal (60 oldalas): 50 db</t>
  </si>
  <si>
    <t>Hivatal</t>
  </si>
  <si>
    <t>K311</t>
  </si>
  <si>
    <t>Törvény szerinti illetmények, munkabérek teljesítése</t>
  </si>
  <si>
    <t>Készenléti, ügyeleti, helyettesítési díj, túlóra, túlszolgálat teljesítése</t>
  </si>
  <si>
    <t>Jubileumi jutalom előirányzata</t>
  </si>
  <si>
    <t>Béren kívüli juttatások teljesítése</t>
  </si>
  <si>
    <t>Közlekedési költségtérítés teljesítése</t>
  </si>
  <si>
    <t>Egyéb költségtérítések teljesítése</t>
  </si>
  <si>
    <t>Munkavégzésre irányuló egyéb jogviszonyban nem saját foglalkoztatottaknak fizetett juttatások teljesítése</t>
  </si>
  <si>
    <t>Egyéb külső személyi juttatások teljesítése</t>
  </si>
  <si>
    <t>Szociális hozzájárulási adó kiadásai</t>
  </si>
  <si>
    <t>Egészségügyi hozzájárulás kiadásai</t>
  </si>
  <si>
    <t>Táppénz hozzájárulás kiadásai</t>
  </si>
  <si>
    <t>Munkáltatót terhelő személyi jövedelemadó kiadásai</t>
  </si>
  <si>
    <t>Üzemeltetési anyagok beszerzése teljesítése</t>
  </si>
  <si>
    <t>Informatikai szolgáltatások igénybevétele teljesítése</t>
  </si>
  <si>
    <t>Egyéb kommunikációs szolgáltatások teljesítése</t>
  </si>
  <si>
    <t>Bérleti és lízingdíjak teljesítése</t>
  </si>
  <si>
    <t>Karbantartási, kisjavítási szolgáltatások teljesítése</t>
  </si>
  <si>
    <t>Közvetített szolgáltatások teljesítése</t>
  </si>
  <si>
    <t>Egyéb szolgáltatások teljesítése</t>
  </si>
  <si>
    <t>Kiküldetések kiadásai teljesítése</t>
  </si>
  <si>
    <t>Működési célú előzetesen felszámított általános forgalmi adó teljesítése</t>
  </si>
  <si>
    <t>Egyéb dologi kiadások teljesítése</t>
  </si>
  <si>
    <t>Intézményi ellátottak pénzbeli juttatásai előirányzata</t>
  </si>
  <si>
    <t>Települési támogatás kiadásai [Szoctv. 45. §]</t>
  </si>
  <si>
    <t>Egyéb működési célú támogatások államháztartáson belülre előirányzata</t>
  </si>
  <si>
    <t>Működési célú visszatérítendő támogatások, kölcsönök nyújtása államháztartáson kívülre előirányzata</t>
  </si>
  <si>
    <t>Működési célú támogatások az Európai Uniónak előirányzata</t>
  </si>
  <si>
    <t>Tartalékok előirányzata</t>
  </si>
  <si>
    <t>Ingatlanok beszerzése, létesítése kiadásai</t>
  </si>
  <si>
    <t>Informatikai eszközök beszerzése, létesítése teljesítése</t>
  </si>
  <si>
    <t>Egyéb tárgyi eszközök beszerzése, létesítése teljesítése</t>
  </si>
  <si>
    <t>Beruházási célú előzetesen felszámított általános forgalmi adó teljesítése</t>
  </si>
  <si>
    <t>Ingatlanok felújítása teljesítése</t>
  </si>
  <si>
    <t>Felújítási célú előzetesen felszámított általános forgalmi adó teljesítése</t>
  </si>
  <si>
    <t>Központi, irányító szervi támogatás folyósítása teljesítése</t>
  </si>
  <si>
    <t>Helyi önkormányzatok működésének általános támogatása teljesítése</t>
  </si>
  <si>
    <t>Települési önkormányzatok egyes köznevelési feladatainak támogatása teljesítése</t>
  </si>
  <si>
    <t>Települési önkormányzatok szociális és gyermekjóléti feladatainak támogatása teljesítése</t>
  </si>
  <si>
    <t>Települési önkormányzatok kulturális feladatainak támogatása teljesítése</t>
  </si>
  <si>
    <t>Működési célú költségvetési támogatások és kiegészítő támogatások teljesítése</t>
  </si>
  <si>
    <t>Társadalombiztosítás pénzügyi alapjaitól működési célú támogatások bevételei</t>
  </si>
  <si>
    <t>Felhalmozási célú önkormányzati támogatások teljesítése</t>
  </si>
  <si>
    <t>Építményadó bevételei</t>
  </si>
  <si>
    <t>Állandó jelleggel végzett tevékenység után fizetett iparűzési adó bevételei</t>
  </si>
  <si>
    <t>Helyi önkormányzatokat megillető belföldi gépjárműadó bevételei</t>
  </si>
  <si>
    <t>Korábbi évek megszűnt adónemei áthúzódó fizetéseiből befolyt bevételek</t>
  </si>
  <si>
    <t>Egyéb közhatalmi bevételek teljesítése</t>
  </si>
  <si>
    <t>Készletértékesítés ellenértéke teljesítése</t>
  </si>
  <si>
    <t>Szolgáltatások ellenértéke teljesítése</t>
  </si>
  <si>
    <t>Közvetített szolgáltatások ellenértéke teljesítése</t>
  </si>
  <si>
    <t>Kiszámlázott általános forgalmi adó teljesítése</t>
  </si>
  <si>
    <t>Biztosítók által fizetett kártérítés teljesítése</t>
  </si>
  <si>
    <t>Előző év költségvetési maradványának igénybevétele teljesítése</t>
  </si>
  <si>
    <t>2017.10.31-i teljesítés</t>
  </si>
  <si>
    <t>Tulajdonosi bevételek</t>
  </si>
  <si>
    <t>Egyéb kapott (járó) kamatok és kamatjellegű bevételek</t>
  </si>
  <si>
    <t>Felhalmozási célú visszatérítendő támogatások, kölcsönök visszatérülése kormányoktól és más nemzetközi szervezetektől</t>
  </si>
  <si>
    <t>Központi, irányító szervi támogatás</t>
  </si>
  <si>
    <t>Végkielégítés</t>
  </si>
  <si>
    <t>Kamatkiadások</t>
  </si>
  <si>
    <t>Családi támogatások</t>
  </si>
  <si>
    <t>Betegséggel kapcsolatos (nem társadalombiztosítási) ellátáso</t>
  </si>
  <si>
    <t>Betegséggel kapcsolatos (nem társadalombiztosítási) ellátásoK</t>
  </si>
  <si>
    <t>Lakhatással kapcsolatos ellátások</t>
  </si>
  <si>
    <t>Immateriális javak beszerzése, létesítése</t>
  </si>
  <si>
    <t>2017.10.31. telj</t>
  </si>
  <si>
    <t>2018.évi előirányzat</t>
  </si>
  <si>
    <t>Szerver</t>
  </si>
  <si>
    <t>A könyvtár raktár adminisztrációs asszisztensi irodává történő átalakítása (bútorok, technikai eszközök beszerzése), a ruhatár 6m2-es részének leválasztása és zárhatóvá tétele könyvtár raktár kialakításának céljából</t>
  </si>
  <si>
    <t>Kültéri, mobil színpad (6x8 m): 1 db</t>
  </si>
  <si>
    <t>Kalózhajó – Kültéri bútor, játszótér elem: 1 db</t>
  </si>
  <si>
    <t>Szaletli a Faluház udvarba (3 m-es zsindelytetővel, 12 személyes padokkal és asztalokkal): 3 db</t>
  </si>
  <si>
    <t>Az intézményi épület körüli terület (aszfaltozott rész) burkolása</t>
  </si>
  <si>
    <t>Melegburkolás</t>
  </si>
  <si>
    <t>Szabadság tér</t>
  </si>
  <si>
    <t>Használt hókotró</t>
  </si>
  <si>
    <t>Jövő erdeje</t>
  </si>
  <si>
    <t>Tűzoltó szertár felújítása</t>
  </si>
  <si>
    <t>Terület vásárlás (komposztálás, gazdasági fejlesztés)</t>
  </si>
  <si>
    <t>Önkormányzat</t>
  </si>
  <si>
    <t>Senior tánc</t>
  </si>
  <si>
    <t>Idősek gerinctornája</t>
  </si>
  <si>
    <t>Idősek számítógépes tanfolyamának tiszteletdíja</t>
  </si>
  <si>
    <t>Polgármesteri illetmény támogatása</t>
  </si>
  <si>
    <t>2017.11.30. telj.</t>
  </si>
  <si>
    <t>2017. évi módosított előirányzat</t>
  </si>
  <si>
    <t>K1103</t>
  </si>
  <si>
    <t>Céljuttatás projek prémium teljesítése</t>
  </si>
  <si>
    <t>K1113</t>
  </si>
  <si>
    <t>Foglalkoztatottak egyéb személyi juttatásai</t>
  </si>
  <si>
    <t>Szakmai anyagok beszerzése</t>
  </si>
  <si>
    <t>K332</t>
  </si>
  <si>
    <t>Vásárolt élelmezés</t>
  </si>
  <si>
    <t>K336</t>
  </si>
  <si>
    <t>Szakmai tev. Segítő szolgáltatások</t>
  </si>
  <si>
    <t>B65</t>
  </si>
  <si>
    <t>Működési célú átvett pénzeszköz</t>
  </si>
  <si>
    <t>K352</t>
  </si>
  <si>
    <t>Fizetendő általános forgalmi adó</t>
  </si>
  <si>
    <t>K73</t>
  </si>
  <si>
    <t>Tárgyi eszközök felújítása</t>
  </si>
  <si>
    <t>B74</t>
  </si>
  <si>
    <t>Háztartások felh. Célú kölcsön visszafizetése</t>
  </si>
  <si>
    <t>K313</t>
  </si>
  <si>
    <t>Árubeszerzés</t>
  </si>
  <si>
    <t>B405</t>
  </si>
  <si>
    <t>Ellátási díjak</t>
  </si>
  <si>
    <t>B52</t>
  </si>
  <si>
    <t>Ingatlanok értékesítése</t>
  </si>
  <si>
    <t>B53</t>
  </si>
  <si>
    <t>Egyéb tárgyieszköz értékesítése</t>
  </si>
  <si>
    <t>B64</t>
  </si>
  <si>
    <t>Háztartásoktól visszatérítendő támogatások, kölcsönök</t>
  </si>
  <si>
    <t>B75</t>
  </si>
  <si>
    <t>Felhalmozási célú átvett pénzeszközök</t>
  </si>
  <si>
    <t>K121</t>
  </si>
  <si>
    <t>Választott tisztségviselők juttatásai</t>
  </si>
  <si>
    <t>K342</t>
  </si>
  <si>
    <t>Reklám és propaganda kiadások</t>
  </si>
  <si>
    <t>K502</t>
  </si>
  <si>
    <t>Előző évi elszámolásból származó kiadások</t>
  </si>
  <si>
    <t>K512</t>
  </si>
  <si>
    <t>Működési célú támogatások kiadásai</t>
  </si>
  <si>
    <t>K89</t>
  </si>
  <si>
    <t>Felhalmozási célú támogatások kiadásai</t>
  </si>
  <si>
    <t>K914</t>
  </si>
  <si>
    <t>Államháztartáson belüli megelőlegezések visszafizetése</t>
  </si>
  <si>
    <t>Parketta felújítása</t>
  </si>
  <si>
    <t>Ingatlan vásárlás tájház</t>
  </si>
  <si>
    <t>Ingatlan vásárlás Fő utca</t>
  </si>
  <si>
    <t>Ingatlan vásárlás Sportcsarnok</t>
  </si>
  <si>
    <t>Muskátli utca ivóvíz</t>
  </si>
  <si>
    <t>Horányi játszótér világítás</t>
  </si>
  <si>
    <t>Mátyás-Mártírok tervezése</t>
  </si>
  <si>
    <t>Vírusirtó</t>
  </si>
  <si>
    <t>Kábelezés</t>
  </si>
  <si>
    <t>Székek</t>
  </si>
  <si>
    <t>Irattár</t>
  </si>
  <si>
    <t>Épület folyosó burkolása</t>
  </si>
  <si>
    <t>Kerékpártároló határcsárda</t>
  </si>
  <si>
    <t>Díszkivilágítás</t>
  </si>
  <si>
    <t>Orvosi rendelő felújítása</t>
  </si>
  <si>
    <t>Esővíz elvezetés Bajcsy-Táncsics</t>
  </si>
  <si>
    <t>Konyha (a pénzt leutalták: 21.434.136 Ft-ot)</t>
  </si>
  <si>
    <t>Horánygyöngye és Vadvirág csomópont tervezése</t>
  </si>
  <si>
    <t>Nagyduna sétány (15.000.000 Ft-ot ítéltek meg, leutalták)</t>
  </si>
  <si>
    <t>Kompok-Révek (a pénzt leutalták: 14.344.750 Ft-ot) 8,4 milliót továbbutaltunk</t>
  </si>
  <si>
    <t>Vismaior (21.686.000 Ft-ot ítéltek meg) még nem utalták</t>
  </si>
  <si>
    <t xml:space="preserve">Kaputelefon </t>
  </si>
  <si>
    <t>pénzmaradvány</t>
  </si>
  <si>
    <t>lizing</t>
  </si>
  <si>
    <t>járda építés (Monostori)</t>
  </si>
  <si>
    <t>Polgárőrség támogatása</t>
  </si>
  <si>
    <t>Magánszemélyek támogatása (futóverseny, sakk, néptánc)</t>
  </si>
  <si>
    <t>Körzeti ügyelet, mentőszolgálat támogatása</t>
  </si>
  <si>
    <t>Tűzoltó egyesület támogatása</t>
  </si>
  <si>
    <t>Házigondozói támogatás</t>
  </si>
  <si>
    <t>Csatorna bekötési támogatás</t>
  </si>
  <si>
    <t>Működési kölcsön háztartásoknak</t>
  </si>
  <si>
    <t>Lakásépítési kölcsönök</t>
  </si>
  <si>
    <t>Vízirendészetnek átadott pénzeszköz</t>
  </si>
  <si>
    <t>Bursa Hungarica</t>
  </si>
  <si>
    <t>Ikerrendelet</t>
  </si>
  <si>
    <t>krízis segély</t>
  </si>
  <si>
    <t>2017.11.30 teljesítés</t>
  </si>
  <si>
    <t>2017.11.30-i teljesítés</t>
  </si>
  <si>
    <t>Örökségvédelem</t>
  </si>
  <si>
    <t>2015.évi előirányzat</t>
  </si>
  <si>
    <t>személyi jellegű kiadások</t>
  </si>
  <si>
    <t xml:space="preserve">dologi jellegű kiadások </t>
  </si>
  <si>
    <t>felhalmozási célú kiadások</t>
  </si>
  <si>
    <t>(2018.01.11) 2018. előirányzat</t>
  </si>
  <si>
    <t>2018. előirányzat (2018.01.18)</t>
  </si>
  <si>
    <t>2017.12.31. kalkulált teljesítés</t>
  </si>
  <si>
    <t>saját kockakővel</t>
  </si>
  <si>
    <t>ingatlaneladás esetén</t>
  </si>
  <si>
    <t xml:space="preserve">Tér és útfejlesztés, kamera </t>
  </si>
  <si>
    <t>2018. előirányzat (2018.01.25)</t>
  </si>
  <si>
    <t>Teher gépkocsi (2 db)</t>
  </si>
  <si>
    <t>BÖLCSŐDE</t>
  </si>
  <si>
    <t>FALUHÁZ</t>
  </si>
  <si>
    <t>ÓVODA</t>
  </si>
  <si>
    <t>ÖNKORMÁNYZAT</t>
  </si>
  <si>
    <t>MINDÖSSZESEN</t>
  </si>
  <si>
    <t>2018.09.30. módosított előirányzat</t>
  </si>
  <si>
    <t>2018.09.30. teljesítés</t>
  </si>
  <si>
    <t>B411</t>
  </si>
  <si>
    <t>Egyéb működési bevételek</t>
  </si>
  <si>
    <t>B115 egyéb működési célú költségvetési támogatások</t>
  </si>
  <si>
    <t>Új óvoda építés</t>
  </si>
  <si>
    <t>orvosi rendelő</t>
  </si>
  <si>
    <t>csapadékvíz</t>
  </si>
  <si>
    <t>2018.09.30.  teljesítés</t>
  </si>
  <si>
    <t>Mosógép vásárlás, METRO</t>
  </si>
  <si>
    <t>kerti tároló</t>
  </si>
  <si>
    <t>konyha felújítás (edények, állvány, teljesítmény bővítés)</t>
  </si>
  <si>
    <t>összehajtható matrac, Jysk, SBAEA0431056, FALUHÁZ,</t>
  </si>
  <si>
    <t>RFID basis chipkártya olvasó, FOTÓ-GA Plusz Kft., SM-2018/21</t>
  </si>
  <si>
    <t>névtábla információs tábla, Mátra Dekor Reklámstudió, SZA000</t>
  </si>
  <si>
    <t>kerítés festése, TBT-Hegy, IH4SA5061994, Bölcsőde</t>
  </si>
  <si>
    <t>játszóház, Szalai Zoltán</t>
  </si>
  <si>
    <t>defibrillátor</t>
  </si>
  <si>
    <t>2750.hrsz. telek visszavásárlása</t>
  </si>
  <si>
    <t>2018.10.31. teljesítés</t>
  </si>
  <si>
    <t>Légkondicionáló</t>
  </si>
  <si>
    <t>Napelem a légkondicionáló működéséhez</t>
  </si>
  <si>
    <t>2019.évi terv (2018.11.26)</t>
  </si>
  <si>
    <t>Tetőszigetelés, emeleti szint szigetelésének javítása</t>
  </si>
  <si>
    <t>Összecsukható rendezvénysátor (3x3 m-s pavilon): 10 db</t>
  </si>
  <si>
    <t>Elektromos kézszárító női mosdóhoz</t>
  </si>
  <si>
    <t>Új óvoda 250m 240- (132m utaltak)</t>
  </si>
  <si>
    <t>Monostori, Horánygyöngye kisajátítási eljárás</t>
  </si>
  <si>
    <t>telekeladás hány darab</t>
  </si>
  <si>
    <t xml:space="preserve">útépítés </t>
  </si>
  <si>
    <t>Ingatlan felújítás szolgálati lakás</t>
  </si>
  <si>
    <t>belső kerékpárút önrész</t>
  </si>
  <si>
    <t>Kerítés megújítása</t>
  </si>
  <si>
    <t>Egeres elé szerelt fal ajtóval</t>
  </si>
  <si>
    <t>Huawei Y5 fekete mobiltelefon készülék, Vodafone</t>
  </si>
  <si>
    <t>Mirosoft Office 2016 szoftver1 db., Itex Solutions</t>
  </si>
  <si>
    <t>Martinovics pályázat (önrész)</t>
  </si>
  <si>
    <t>Ady-Mátyás-Köztársaság (nyertes pályázat, önrész) 107mx0,1</t>
  </si>
  <si>
    <t xml:space="preserve">Kompok-Révek (a pénzt leutalták: 15.395.422,- Ft-ot) </t>
  </si>
  <si>
    <t>csikkgyűjtő</t>
  </si>
  <si>
    <t>bölcsőde bővítés</t>
  </si>
  <si>
    <t>Tornaszoba eszközei orvosi (szőnyegek, babzsák, lámpák, henger, labda,stb.)</t>
  </si>
  <si>
    <t>védőnő CANON I-SENSYS MF247DW fekete Wifi multifunkciós mono lézernyomtató</t>
  </si>
  <si>
    <t xml:space="preserve">védőnő Phonendoscop Littmann Classic II. </t>
  </si>
  <si>
    <t>védőnő mobiltelefon  Samsung Galaxy  j3</t>
  </si>
  <si>
    <t>HPV oltás védőnő  ( őszi )</t>
  </si>
  <si>
    <t>mobiltelefon</t>
  </si>
  <si>
    <t>közterületi locsoló rendszer</t>
  </si>
  <si>
    <t>ivóvíz</t>
  </si>
  <si>
    <t>horányi ivóvíz beruházás</t>
  </si>
  <si>
    <t>mozgáskorlátozott bejárat (Köz kövezése a kapuig)</t>
  </si>
  <si>
    <t>Egeres raktár külső színezése</t>
  </si>
  <si>
    <t>választás és közter.fel. Ruha és eszközök</t>
  </si>
  <si>
    <t>2019.évi terv (2019.01.17)</t>
  </si>
  <si>
    <t>2018.12.31. teljesítés</t>
  </si>
  <si>
    <t>2018.12.31. M.ei.</t>
  </si>
  <si>
    <t>MIR-647, Volkswagen Transporter tehergépjármű</t>
  </si>
  <si>
    <t>húsdaráló, Gammo Europe Kft., Óvoda</t>
  </si>
  <si>
    <t>operációs rendszer, notebook, stb., ITEX Kft., Óvoda</t>
  </si>
  <si>
    <t>elektromos szeletelő, Gammo Europe Kft., Óvoda</t>
  </si>
  <si>
    <t>tároló szekrény készítése, Jagri János, RHASA4871709, hivata</t>
  </si>
  <si>
    <t>Udvar, kert, parkoló (kémény bontása hivatal, Kövesdi Tamás, RHAEA4914305, Hivatal)</t>
  </si>
  <si>
    <t>Bölcsőde kültéri parkoló térburkolása, TBT Hegy Kft., Bölcső</t>
  </si>
  <si>
    <t>Piramis mászóka, Acer Kft., Bölcsőde</t>
  </si>
  <si>
    <t>2018.11.30. teljesítés</t>
  </si>
  <si>
    <t>Tetőszigetelés javítása, óvoda épületén, "Fassade" Építő Kiv</t>
  </si>
  <si>
    <t>2019.évi terv (2019.01.27)</t>
  </si>
  <si>
    <t>2018.12.31-én pénzmaradvány</t>
  </si>
  <si>
    <t>Felhalmozási bevétel</t>
  </si>
  <si>
    <t>Felhalmozási kiadás</t>
  </si>
  <si>
    <t>Felhalmozási egyenleg</t>
  </si>
  <si>
    <t>Polgármesteri javaslat: későbbre halasztható</t>
  </si>
  <si>
    <t>PFB által javasolt (költségvetésbe kerülő összeg)</t>
  </si>
  <si>
    <t xml:space="preserve">PFB javaslat: későbbre halasztható </t>
  </si>
  <si>
    <t>Polgármester által javasolt (költségvetésbe kerülő összeg)</t>
  </si>
  <si>
    <t>Polgármester által javasolt terv</t>
  </si>
  <si>
    <t>PFB által javasolt terv</t>
  </si>
  <si>
    <t>2018.12.31. teljesítés / 2019.évi terv</t>
  </si>
  <si>
    <t>vis maior</t>
  </si>
  <si>
    <t>Kerékpárút Fő u. - Dunakeszi rév, Bokút-Terv Mérnökiés Válla</t>
  </si>
  <si>
    <t>Ultrahang berendezés</t>
  </si>
  <si>
    <t xml:space="preserve">Tehetséggondozó program </t>
  </si>
  <si>
    <t>Összművészeti tábor</t>
  </si>
  <si>
    <t>eltérés</t>
  </si>
  <si>
    <t>Jelzett problémák:</t>
  </si>
  <si>
    <t>Hidegben dolgoznak a kollégák</t>
  </si>
  <si>
    <t>Mariann kért műszaki felelős, támogató személyt</t>
  </si>
  <si>
    <t>Betuházási tervben nem szerepel, mert garanciális</t>
  </si>
  <si>
    <t>Szakvizsgálatot kér és kiszámlázza a kivitelezőnek</t>
  </si>
  <si>
    <t>Mobil színpad (6x8 m, fém váz, hajópadló burkolat)</t>
  </si>
  <si>
    <t>A napelem rendszer átvizsgálása és javítása</t>
  </si>
  <si>
    <t>Sörgarnitúra (2 pad 1 asztal, 220cm x 50cm x 76cm): 15 db</t>
  </si>
  <si>
    <t>Megjegyzések:</t>
  </si>
  <si>
    <t>Illetménykiegészítésre lesz pályázat</t>
  </si>
  <si>
    <t>10965000 Bokút fizetve</t>
  </si>
  <si>
    <t>bölcsőde bővítés önrésze</t>
  </si>
  <si>
    <t>2019.terv PFB</t>
  </si>
  <si>
    <t>2019.évi terv (PFB)</t>
  </si>
  <si>
    <t>Egyesületek, egyházak támogatása - egyesület</t>
  </si>
  <si>
    <t>Egyesületek, egyházak támogatása - egyház</t>
  </si>
  <si>
    <t>Csatorna rendezése</t>
  </si>
  <si>
    <t>2019.évi terv (2019.01.28)</t>
  </si>
  <si>
    <t>2019.01.28. javasolt (költségvetésbe kerülő összeg)</t>
  </si>
  <si>
    <t>2019.01.28.: későbbre halasztható</t>
  </si>
  <si>
    <t>Óvoda tető szigetelés, bontás, javítás</t>
  </si>
  <si>
    <t xml:space="preserve">Horánygyöngye u 106 (2527.hrsz: 278/2018.11.29 KT hat.) </t>
  </si>
  <si>
    <t>Horánygyöngye-Vadvirág csomópont terv</t>
  </si>
  <si>
    <t>SPORTCSARNOK BEILLESZTÉSE A TELEPÜLÉSRENDEZÉSI TERVEKBE</t>
  </si>
  <si>
    <t>Kerékpártároló és útszélesítés határcsárda, dunakeszi komp, parkolók</t>
  </si>
  <si>
    <t>(kövek, öntözés, fatelepítés, karózás, parkosítás)</t>
  </si>
  <si>
    <t xml:space="preserve">járda építés </t>
  </si>
  <si>
    <t>Vízmű</t>
  </si>
  <si>
    <t>vízmű</t>
  </si>
  <si>
    <t>Horányi játszótér világítás, közvilágítás korszerűsítés</t>
  </si>
  <si>
    <t>2019.06.30. teljesítés</t>
  </si>
  <si>
    <t>2019.08.31. teljesítés</t>
  </si>
  <si>
    <t>B25</t>
  </si>
  <si>
    <t>Egyéb felhalmozási célú állami támogatás</t>
  </si>
  <si>
    <t>Megelőlegezés</t>
  </si>
  <si>
    <t>B116</t>
  </si>
  <si>
    <t>Elszámolásból származó bevételek</t>
  </si>
  <si>
    <t xml:space="preserve">B25 felhalmozási célú önkormányzati támogatások </t>
  </si>
  <si>
    <t>Horánygyöngye u. 106.</t>
  </si>
  <si>
    <t>Horányi játszótér járda a sportparkhoz 3 éven belül kötelező</t>
  </si>
  <si>
    <t>Orgona utca aszfaltborítása</t>
  </si>
  <si>
    <t>Ravatalozó felújítása</t>
  </si>
  <si>
    <t>Gödi rév mozgáskorlátozott lejáró helyrehozatala</t>
  </si>
  <si>
    <t>Vízelevezetők rendbehozatala (rév utca, iskola, Fő utca, Bem utca…)</t>
  </si>
  <si>
    <t>Orvosi rendelő alagsorának rendelővé alakítása</t>
  </si>
  <si>
    <t>Orvosi eszközök beszerzésére pályázat</t>
  </si>
  <si>
    <t>led közvilágítás kialakítása</t>
  </si>
  <si>
    <t>"presszó-kocsma" megvásárlása</t>
  </si>
  <si>
    <t>videókártya Asus GTX1060, PCX Kft., POS019668/2019, Faluház</t>
  </si>
  <si>
    <t>oldalponyva sátorhoz, Bigtents Kft., Faluház</t>
  </si>
  <si>
    <t>Beamz színpadi led lámpák, füstgép és füstfolyadék, Zendor Kft</t>
  </si>
  <si>
    <t>Hivatal udvarának kertépítési munkái,  Kerekerdő Kertépítő Kft</t>
  </si>
  <si>
    <t>szúnyogháló</t>
  </si>
  <si>
    <t>fűnyíró</t>
  </si>
  <si>
    <t>pályázatban vállalt eszközök hiánypótlása</t>
  </si>
  <si>
    <t>053/2.hrsz ingatlan Kék Duna</t>
  </si>
  <si>
    <t>Szévics bolt tető</t>
  </si>
  <si>
    <t>benzines fűnyíró</t>
  </si>
  <si>
    <t>kerékpár településtisztaság</t>
  </si>
  <si>
    <t>porszívó</t>
  </si>
  <si>
    <t>számítógép közterületfelügyelő</t>
  </si>
  <si>
    <t>fúró, csavarhúzó akkus</t>
  </si>
  <si>
    <t>%</t>
  </si>
  <si>
    <t>2019.09.30. teljesítés</t>
  </si>
  <si>
    <t>csoportbútorok</t>
  </si>
  <si>
    <t>Thermoláda</t>
  </si>
  <si>
    <t>szünetmentes tápegység</t>
  </si>
  <si>
    <t>telefon</t>
  </si>
  <si>
    <t>Jövő erdeje (kőfaragás + névtáblák)</t>
  </si>
  <si>
    <t xml:space="preserve">vas szerkezetű kapu </t>
  </si>
  <si>
    <t>Módosított előirányzat</t>
  </si>
  <si>
    <t>teljesítés %-a</t>
  </si>
  <si>
    <t>2019.10.31. teljesítés</t>
  </si>
  <si>
    <t>12 hónap várható arányosítva</t>
  </si>
  <si>
    <t>Terv 2020.</t>
  </si>
  <si>
    <r>
      <t xml:space="preserve">Tervezet: 2020. évre </t>
    </r>
    <r>
      <rPr>
        <b/>
        <sz val="9"/>
        <color theme="1"/>
        <rFont val="Calibri"/>
        <family val="2"/>
        <charset val="238"/>
        <scheme val="minor"/>
      </rPr>
      <t>(2019.11.25.)</t>
    </r>
  </si>
  <si>
    <t>12 hóra várható</t>
  </si>
  <si>
    <t>2020. évi TERV 2 %-al emelt</t>
  </si>
  <si>
    <t>TERV 2020.</t>
  </si>
  <si>
    <t>Módosított előrányzat</t>
  </si>
  <si>
    <t>K1112</t>
  </si>
  <si>
    <t>Szociális támogatások</t>
  </si>
  <si>
    <t>Piac tér melletti "Ferences" telek megvásárlása (felújítás)</t>
  </si>
  <si>
    <t>Esővíz elvezetés Bajcsy-Táncsics 46692e utaltak (járda)</t>
  </si>
  <si>
    <t>előirányzat módosított</t>
  </si>
  <si>
    <t>K112</t>
  </si>
  <si>
    <t>2019.10.31. telj.</t>
  </si>
  <si>
    <t xml:space="preserve"> Szociális támogatások</t>
  </si>
  <si>
    <t>előirányzat  módosított</t>
  </si>
  <si>
    <t>2019.10.31. teljesített</t>
  </si>
  <si>
    <t>várható 2019.12.31-ig</t>
  </si>
  <si>
    <t>2%-al emelt teljesítés</t>
  </si>
  <si>
    <t>12 havi</t>
  </si>
  <si>
    <t>Az intézmény épületének belső festése</t>
  </si>
  <si>
    <t>A beruházás tárgya</t>
  </si>
  <si>
    <t>Kültéri tároló helyiség kialakít. a már fennállók alapján</t>
  </si>
  <si>
    <t>Árpád u. felőli fa kerítés és pajta festése, kezelése</t>
  </si>
  <si>
    <t>Kültéri kukák, szemetesek vásárlása, telepítése</t>
  </si>
  <si>
    <t>Laminált padló cseréje az asszisztensi irodahelyis.</t>
  </si>
  <si>
    <t>Klíma berend. telepítése az intézményvez.irodájában</t>
  </si>
  <si>
    <t>Szag- és páraelsz. berendezés a FH büfé rakt.</t>
  </si>
  <si>
    <t>Színjpadi világítástechn. Cseréje LED install.</t>
  </si>
  <si>
    <t>Mikrofonkábelek 10 db 12m és állványok 5 db</t>
  </si>
  <si>
    <t>A napelem-rendszer átvizsgálása és javítása</t>
  </si>
  <si>
    <t>Könyvtári polc 2 db</t>
  </si>
  <si>
    <t>2020. évi TERV</t>
  </si>
  <si>
    <t>2020 terv</t>
  </si>
  <si>
    <t>2020 bővítés+ csoport szeptember</t>
  </si>
  <si>
    <t>módosított előirányzat</t>
  </si>
  <si>
    <t>12 hónap várható</t>
  </si>
  <si>
    <t>2020. Terv</t>
  </si>
  <si>
    <t>2.sz. melléklet III.5.ab gyermekétkeztetés üzemeltetés támogatása</t>
  </si>
  <si>
    <t>2.sz. melléklet III.5.aa. gyermekétkeztetés bérköltség támogatása</t>
  </si>
  <si>
    <t>2020. évi Terv (2019.12.04)</t>
  </si>
  <si>
    <t>2019.10.31. Teljesítés</t>
  </si>
  <si>
    <t>Egészségnap</t>
  </si>
  <si>
    <t>Idősek kult. utazási ktgtér.</t>
  </si>
  <si>
    <t>Kisgyermekes Játszótér(Jövő erdeje)</t>
  </si>
  <si>
    <t>Rendelő takarítás</t>
  </si>
  <si>
    <t>Egészséges életmód</t>
  </si>
  <si>
    <t>Terv 2020. (bruttó)</t>
  </si>
  <si>
    <t>? Ingatlant adunk el</t>
  </si>
  <si>
    <t>?</t>
  </si>
  <si>
    <t>belső kerékpárút</t>
  </si>
  <si>
    <t>Tartózkodás után fizetett idegenforgalmi adó</t>
  </si>
  <si>
    <t>Egyéb közhatalmi bevételek telj.(bírság, pótlék, talajterh., egyéb bev.)</t>
  </si>
  <si>
    <t>2020. évi Finanszírozás</t>
  </si>
  <si>
    <t>2020.01.20..</t>
  </si>
  <si>
    <t>Táncsics utca járda építés</t>
  </si>
  <si>
    <t>2020.01.20..pm</t>
  </si>
  <si>
    <t>TERV 2020.01.20..</t>
  </si>
  <si>
    <r>
      <t xml:space="preserve">2020. TERV </t>
    </r>
    <r>
      <rPr>
        <b/>
        <sz val="11"/>
        <color theme="1"/>
        <rFont val="Calibri"/>
        <family val="2"/>
        <charset val="238"/>
        <scheme val="minor"/>
      </rPr>
      <t>2020.01.20..</t>
    </r>
  </si>
  <si>
    <t>2020. évi terv 2020.01.15.</t>
  </si>
  <si>
    <t>Piszkozat 2020.01.20..</t>
  </si>
  <si>
    <t>működési: 544552639</t>
  </si>
  <si>
    <t>felhalmozási: 646557773</t>
  </si>
  <si>
    <t>2019. 12 .31. Teljesítés</t>
  </si>
  <si>
    <t>2019. 12. 31. Teljesítés</t>
  </si>
  <si>
    <r>
      <t>Állandó jelleggel végzett tevékenység után fizetett</t>
    </r>
    <r>
      <rPr>
        <b/>
        <sz val="11"/>
        <color theme="1"/>
        <rFont val="Calibri"/>
        <family val="2"/>
        <charset val="238"/>
        <scheme val="minor"/>
      </rPr>
      <t xml:space="preserve"> iparűzési adó</t>
    </r>
    <r>
      <rPr>
        <sz val="11"/>
        <color theme="1"/>
        <rFont val="Calibri"/>
        <family val="2"/>
        <charset val="238"/>
        <scheme val="minor"/>
      </rPr>
      <t xml:space="preserve"> bevételei</t>
    </r>
  </si>
  <si>
    <t>2020.06.30. előir. mód.</t>
  </si>
  <si>
    <t>2020.06.30. teljesít</t>
  </si>
  <si>
    <t>2020.06.30 előir.mód.</t>
  </si>
  <si>
    <t>2020.06.30.telj.</t>
  </si>
  <si>
    <t>2020.06.30.előir.</t>
  </si>
  <si>
    <t>2020.06.30. előir.mód.</t>
  </si>
  <si>
    <t>2020.06.30. telj.</t>
  </si>
  <si>
    <t>Módosított előirányzat 2020. 09. 30.</t>
  </si>
  <si>
    <t>Teljesítés   2020. 09. 30.</t>
  </si>
  <si>
    <t>Módosított előirányzat 2020. 09 30.</t>
  </si>
  <si>
    <t>Teljesítés 2020.09.30.</t>
  </si>
  <si>
    <t>Módisított előrányzat 2020.09.30.</t>
  </si>
  <si>
    <t>2020. IV. negyedévre  Ft</t>
  </si>
  <si>
    <t>2020. IV. negyedévre jutó Ft</t>
  </si>
  <si>
    <t>Felhasználás %-ban</t>
  </si>
  <si>
    <t>K354</t>
  </si>
  <si>
    <t>Egyéb pénzügyi műveletek kiadásai</t>
  </si>
  <si>
    <t>2020. Tény</t>
  </si>
  <si>
    <t>2020. IV. negyedévre Ft</t>
  </si>
  <si>
    <t>Teljesítés 2020. 10. 31.</t>
  </si>
  <si>
    <t>EREDETI ELŐIRÁNYZAT 2020.</t>
  </si>
  <si>
    <t>Maradt még 2020. nov-dec.-re Ft</t>
  </si>
  <si>
    <t>Maradt még 2020. nov-dec.-re % ban</t>
  </si>
  <si>
    <t>TERV 2021.</t>
  </si>
  <si>
    <r>
      <t>TERV 2021.</t>
    </r>
    <r>
      <rPr>
        <b/>
        <sz val="11"/>
        <rFont val="Arial"/>
        <family val="2"/>
        <charset val="238"/>
      </rPr>
      <t xml:space="preserve"> (bruttó)</t>
    </r>
  </si>
  <si>
    <t>2021. évi Finanszírozás TERV</t>
  </si>
  <si>
    <t>Módosított előrányzat 2020.09.30.</t>
  </si>
  <si>
    <t>Elkülönítő helyiség kialakítása-Monostori utca</t>
  </si>
  <si>
    <t>Konyha</t>
  </si>
  <si>
    <t>Tűzoltó szert.</t>
  </si>
  <si>
    <t>Kamerarendszer</t>
  </si>
  <si>
    <t>Világítás korszerűsítés (Monostori út)</t>
  </si>
  <si>
    <t>Horányi ingatlan felújítása</t>
  </si>
  <si>
    <t>Jövő erdeje folytatás, fejlesztés(kőfaragás + névtáblák)</t>
  </si>
  <si>
    <t>Egyes szociális és gyermekjóléti feladatok támogatása - család és gyermekjóléti szolgálat/központ támogatása kivételével</t>
  </si>
  <si>
    <t>2021. TERV</t>
  </si>
  <si>
    <t>2021. Terv</t>
  </si>
  <si>
    <t>B1131</t>
  </si>
  <si>
    <t>B1132</t>
  </si>
  <si>
    <t>Települési önkormányzatok szociális és gyermekétkeztetési feladatainak támogatása</t>
  </si>
  <si>
    <t>Települési önkormányzatok szociális és gyermekjóléti feladatainak támogatása</t>
  </si>
  <si>
    <t>Települési önkormányzatok szociális és gyermekétkeztetési feladatainak támogatása teljesítése</t>
  </si>
  <si>
    <t>Vízelvezetés (Mártírok, Martinovics, Madárbarát park)</t>
  </si>
  <si>
    <t>Ingatlanvásárlás komposztáló</t>
  </si>
  <si>
    <t>Útépítés Nagyduna st. BM+ egyéb</t>
  </si>
  <si>
    <t>MZs</t>
  </si>
  <si>
    <t>Szigetmonostor Faluház javaslat 4%</t>
  </si>
  <si>
    <t>Szigetmonostor Faluház javaslat 8%</t>
  </si>
  <si>
    <t>Hivatal javaslat 4 %</t>
  </si>
  <si>
    <t>Hivatal javaslat 8 %</t>
  </si>
  <si>
    <t>K2</t>
  </si>
  <si>
    <t>Önkormányzat javaslat +4% bér</t>
  </si>
  <si>
    <t>Önkormányzat javaslat +8% bér</t>
  </si>
  <si>
    <t>javaslat + 4% bér</t>
  </si>
  <si>
    <t>javaslat + 8% bér</t>
  </si>
  <si>
    <t>TERV + 4% bér</t>
  </si>
  <si>
    <t>TERV + 8% bér</t>
  </si>
  <si>
    <t>III. 3.b. bölcsődei üzemeltetési ellátás</t>
  </si>
  <si>
    <t>2020. évi elsz.</t>
  </si>
  <si>
    <t>2021. Módosított előirányzat</t>
  </si>
  <si>
    <t>Teljesítés 2021. 07. 31.</t>
  </si>
  <si>
    <t>2020. Eredeti előirányzat</t>
  </si>
  <si>
    <t>Teljesítés 2021. 09. 31.</t>
  </si>
  <si>
    <t>2021. Eredeti előirányzat</t>
  </si>
  <si>
    <t>Teljesítés 2021. 10. 31.</t>
  </si>
  <si>
    <t>Teljesítés 2021. 09. 30.</t>
  </si>
  <si>
    <t>12 hóra kalkulált</t>
  </si>
  <si>
    <t>12 hóra kalkulálva</t>
  </si>
  <si>
    <t>TERV 2022.</t>
  </si>
  <si>
    <t>2022. terv</t>
  </si>
  <si>
    <t>Családi sportnap</t>
  </si>
  <si>
    <t>Szigeti sakkverseny</t>
  </si>
  <si>
    <t>2022. TERV</t>
  </si>
  <si>
    <t>Iskola tető javítása</t>
  </si>
  <si>
    <t>Víziturisztika fejlesztése</t>
  </si>
  <si>
    <t>Horányi ivóvízhálózat építése</t>
  </si>
  <si>
    <t>2022. Terv</t>
  </si>
  <si>
    <t>SOS!  Irattár</t>
  </si>
  <si>
    <t>Asztali gép vásárlása (óvodatitkári)</t>
  </si>
  <si>
    <t>Gépészet karbantartásának megoldása</t>
  </si>
  <si>
    <t>Intézmény pajtájának téliesítése</t>
  </si>
  <si>
    <t>A Faluház rendszerébe vírusirtó telepítése</t>
  </si>
  <si>
    <t>A Faluház honlapjának létrehozása</t>
  </si>
  <si>
    <t>Könyvtári bútorállomány gyarapítása</t>
  </si>
  <si>
    <t>Áramfogyasztás almérő telepítése a büfébe</t>
  </si>
  <si>
    <t>A napelem-rendszer karbantartása, javítása</t>
  </si>
  <si>
    <t>Teljesített</t>
  </si>
  <si>
    <t>Gőzpároló</t>
  </si>
  <si>
    <t>Révek-kompk/2022.</t>
  </si>
  <si>
    <t>2021. évi áthúzódó beruházások</t>
  </si>
  <si>
    <t>2022. kiegészítéssel Pontosított</t>
  </si>
  <si>
    <t>EBR</t>
  </si>
  <si>
    <t xml:space="preserve">EBR </t>
  </si>
  <si>
    <t>Kiegészítő támogatás</t>
  </si>
  <si>
    <t>2022. 06. 30-i állapot</t>
  </si>
  <si>
    <t>2022. májusi felmérés eredménye</t>
  </si>
  <si>
    <t>1 230 085</t>
  </si>
  <si>
    <t>2022. 06. 30-ig</t>
  </si>
  <si>
    <t>NHK Kulturális rendezvények</t>
  </si>
  <si>
    <t>TOP PLUSZ Zöldterület</t>
  </si>
  <si>
    <t>Költségvetés módosítás 2022.10.01.</t>
  </si>
  <si>
    <t>Informatikai beszerzés</t>
  </si>
  <si>
    <t>Elromlott számítógép pótlása</t>
  </si>
  <si>
    <t>Összes intézmény:</t>
  </si>
  <si>
    <t>Telefon továbbszámlázás</t>
  </si>
  <si>
    <t>2023.Megalapozó felmérés</t>
  </si>
  <si>
    <t>2023. TERV</t>
  </si>
  <si>
    <t>2022. 10. 31. Teljesítés</t>
  </si>
  <si>
    <t>Polgármesteri Hivatal</t>
  </si>
  <si>
    <t xml:space="preserve"> </t>
  </si>
  <si>
    <t>2023. Terv</t>
  </si>
  <si>
    <t>Temető projekt</t>
  </si>
  <si>
    <t>Óvodai játszóudvar</t>
  </si>
  <si>
    <t>Ifjúsági Ház bútorok</t>
  </si>
  <si>
    <t>Kompok-révek</t>
  </si>
  <si>
    <t>Vízilétesítmények (kikötőhely építés)</t>
  </si>
  <si>
    <t>B8112</t>
  </si>
  <si>
    <t>Likviditási célú hitelek pénzügyi vállalkozásoktól</t>
  </si>
  <si>
    <t>K9112</t>
  </si>
  <si>
    <t>Likviditási célú hitelek visszafizetése pénzügyi vállalkozásoknak</t>
  </si>
  <si>
    <t>Kamera rendszer telepítés</t>
  </si>
  <si>
    <t>Kuka lebetonozás alapanyag</t>
  </si>
  <si>
    <t>Mozgáskorlátozott feljáró javítás</t>
  </si>
  <si>
    <t>Riasztó karbantartás</t>
  </si>
  <si>
    <t>Pajta tároló hátsó ajtó (fűnyíró)</t>
  </si>
  <si>
    <t>Kerítés stabilizálás</t>
  </si>
  <si>
    <t>Áramfogyasztás almérő telepítés a büfébe (2017-es szerződés alapján)</t>
  </si>
  <si>
    <t>Fénytechnika karbatartás</t>
  </si>
  <si>
    <t>Hangfal javítás</t>
  </si>
  <si>
    <t>Molnárkocsi pakoláshoz</t>
  </si>
  <si>
    <t>Rakodókocsi</t>
  </si>
  <si>
    <t>Szekrény a Civil terembe</t>
  </si>
  <si>
    <t>Napelem rendszer átvizsgálása</t>
  </si>
  <si>
    <t>Infra melegítőpanel pajtába</t>
  </si>
  <si>
    <t>Épület világítástechnika korszerűsítés</t>
  </si>
  <si>
    <t>Sátor karbantartás</t>
  </si>
  <si>
    <t>2023. TERV       2023. 01. 23.</t>
  </si>
  <si>
    <t>Óvoda összesen</t>
  </si>
  <si>
    <t>Faluház összesen</t>
  </si>
  <si>
    <t>Hivatal összesen</t>
  </si>
  <si>
    <t>Önkormányzat összesen</t>
  </si>
  <si>
    <t>2023. TERV 2023.01.23.</t>
  </si>
  <si>
    <t>2023. TERV 2023.01.23</t>
  </si>
  <si>
    <t>Vagyoni típusú adók (építmény, kommunális, telek)</t>
  </si>
  <si>
    <t>TOP PLUSZ Zöldterület (Jövő erdeje) folytatása</t>
  </si>
  <si>
    <t>TOP PLUSZ Helyi turizmusfejlesztés (nettó)</t>
  </si>
  <si>
    <t>TOP PLUSZ Konyha (nettó)</t>
  </si>
  <si>
    <t>Taqeball asztal</t>
  </si>
  <si>
    <t>ÁFA 2 db nettós projekté</t>
  </si>
  <si>
    <t>Ifjúsági Ház</t>
  </si>
  <si>
    <t>Teljesítés 2023. október 31.</t>
  </si>
  <si>
    <t>2024. TERV 2023. 11. 27-i ülésre</t>
  </si>
  <si>
    <t>12 hóra vetítve</t>
  </si>
  <si>
    <t>K3311</t>
  </si>
  <si>
    <t>K3312</t>
  </si>
  <si>
    <t>K3314</t>
  </si>
  <si>
    <t>Villamosenergia szolgáltatás díja</t>
  </si>
  <si>
    <t>Gázenergia szolgáltatás díja</t>
  </si>
  <si>
    <t>Víziközmű szolgáltatás díja</t>
  </si>
  <si>
    <t>Eredeti előirányzat 2023.</t>
  </si>
  <si>
    <t>K84</t>
  </si>
  <si>
    <t>Egyéb felhalmozási célú támogatások államháztartáson belülre</t>
  </si>
  <si>
    <t>2024. TERV</t>
  </si>
  <si>
    <t>Bölcsőde összesen</t>
  </si>
  <si>
    <t>Szúnyogháló a Süni csoportba</t>
  </si>
  <si>
    <t>2025. TERV 2023. 12. 11-i ülésre</t>
  </si>
  <si>
    <t>Kerítés javítása</t>
  </si>
  <si>
    <t>Épület penész és salétrom mentesítése</t>
  </si>
  <si>
    <t>sátrak</t>
  </si>
  <si>
    <t>2024. TERV 2023. 12. 11-i ülésre</t>
  </si>
  <si>
    <t>Műhely világítás korszerűsítés</t>
  </si>
  <si>
    <t>Játszótéri csúszdák 2db</t>
  </si>
  <si>
    <t>Rézsűkasza kés klt.</t>
  </si>
  <si>
    <t>Zöldhulladék elszállítás</t>
  </si>
  <si>
    <t>2023 11 30-ig</t>
  </si>
  <si>
    <t>a mellékelt táblázat szerint</t>
  </si>
  <si>
    <t>2026. TERV 2023. 12. 11-i ülésre</t>
  </si>
  <si>
    <t>2024. TERV 2024. 01. 22-i ülésre</t>
  </si>
  <si>
    <t xml:space="preserve">2024. TERV </t>
  </si>
  <si>
    <t>ÁFA 1 db nettós projekté KONYHA</t>
  </si>
  <si>
    <t>TOP PLUSZ Helyi turizmusfejlesztés</t>
  </si>
  <si>
    <t>Polgármester javaslata</t>
  </si>
  <si>
    <t>Elkülönített állami pénzalapok</t>
  </si>
  <si>
    <t>2024.Megalapozó felmérés</t>
  </si>
  <si>
    <t>Tűzhely+Sütő</t>
  </si>
  <si>
    <t>2025. terv.</t>
  </si>
  <si>
    <t>2025. évi terv</t>
  </si>
  <si>
    <t>2025. évi terv.</t>
  </si>
  <si>
    <t>B814</t>
  </si>
  <si>
    <t>Informatikai eszközök beszerzése</t>
  </si>
  <si>
    <t>Kamera rendszer telepítés + Acces Point wifi er.</t>
  </si>
  <si>
    <t>Teakonyha kialakítása</t>
  </si>
  <si>
    <t>Könyvtári terasz napvitorlákkal</t>
  </si>
  <si>
    <t xml:space="preserve">színházterem gumiszőnyeg </t>
  </si>
  <si>
    <t>tárolószekrények</t>
  </si>
  <si>
    <t>Mozgásterem tükör csere S.O.S.</t>
  </si>
  <si>
    <t>Klíma (3 db)</t>
  </si>
  <si>
    <t>iskolai étkezőbe székek cseeréje</t>
  </si>
  <si>
    <t>Gázcseretelep világítás kiépítés + riasztó beszer.</t>
  </si>
  <si>
    <t>Kisrendelő működéséhez</t>
  </si>
  <si>
    <t>2025. megalapozó felmérés</t>
  </si>
  <si>
    <t>helyi ösztöndíj programhoz támogatás</t>
  </si>
  <si>
    <t>Babacsomag</t>
  </si>
  <si>
    <t>Polyroads út</t>
  </si>
  <si>
    <t>Kazán</t>
  </si>
  <si>
    <t>Szivattyú vásárlása (kerti)</t>
  </si>
  <si>
    <t>Polgármester javaslata 2024.</t>
  </si>
  <si>
    <t>Egyéb külső személyi juttatások teljesítése (bizottsági tagok)</t>
  </si>
  <si>
    <t>Választott tisztségviselők juttatásai (polgármester is)</t>
  </si>
  <si>
    <t>Hangtechnika</t>
  </si>
  <si>
    <t>Informatikai fejlesztés</t>
  </si>
  <si>
    <t>B407</t>
  </si>
  <si>
    <t>ÁFA visszaigénylés</t>
  </si>
  <si>
    <t>Csatorna hálózat tervezése</t>
  </si>
  <si>
    <r>
      <t>Klíma (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db)</t>
    </r>
  </si>
  <si>
    <t>terasz + festés</t>
  </si>
  <si>
    <t>Kamerarendszer (áram+kamerák fele)</t>
  </si>
  <si>
    <t>Mindösszesen:</t>
  </si>
  <si>
    <t>Ivóvíz pótlási munkák</t>
  </si>
  <si>
    <t>2026. megalapozó felmérés</t>
  </si>
  <si>
    <t>2026. évi terv</t>
  </si>
  <si>
    <t>beszerzések kisrendlőbe</t>
  </si>
  <si>
    <t>rendelő takarítás</t>
  </si>
  <si>
    <t>gerinc torna</t>
  </si>
  <si>
    <t>egészségn</t>
  </si>
  <si>
    <t>mikuláscs</t>
  </si>
  <si>
    <t>kisrendelő besz.</t>
  </si>
  <si>
    <t>Ezt nem K48-ra szoktuk teni</t>
  </si>
  <si>
    <t>ki kell venni  a segélyekből</t>
  </si>
  <si>
    <t>2025. évi felhasználás</t>
  </si>
  <si>
    <t>Pajta áram</t>
  </si>
  <si>
    <t>Analóg 22 csatornás keverőpult</t>
  </si>
  <si>
    <t>Egyéb felújítás</t>
  </si>
  <si>
    <t>Napelemes világítás a kertbe, bejárathoz</t>
  </si>
  <si>
    <t>Könyvtári könyvek</t>
  </si>
  <si>
    <r>
      <t xml:space="preserve">Laptopok vásárlása (5 db) </t>
    </r>
    <r>
      <rPr>
        <sz val="10"/>
        <color rgb="FFFF0000"/>
        <rFont val="Arial"/>
        <family val="2"/>
        <charset val="238"/>
      </rPr>
      <t>Önkormányzati?</t>
    </r>
  </si>
  <si>
    <t>sütő</t>
  </si>
  <si>
    <t>Laptop+ szünetmentes</t>
  </si>
  <si>
    <t>Klíma+székek</t>
  </si>
  <si>
    <t>Előző években a Szűrkő sziget bevétele volt betervezve nem valósult meg</t>
  </si>
  <si>
    <t>Kamera kiépítés</t>
  </si>
  <si>
    <t>Kossuth utca felújítása</t>
  </si>
  <si>
    <t>Határcsárda járda, Mártírok út vízelvezetés tervezése</t>
  </si>
  <si>
    <t>vm.</t>
  </si>
  <si>
    <t>Figyelőkút létesítése Madárbarát parkban</t>
  </si>
  <si>
    <t>Madárbarát park közlekedés tervezés</t>
  </si>
  <si>
    <t>Emlékérem</t>
  </si>
  <si>
    <t>üzemeltetési anyag</t>
  </si>
  <si>
    <t>3.000.000 érem+ fa</t>
  </si>
  <si>
    <t>6.790.000.-vízelvezetés tervezés, csapadékcsatorna eng hossz., Madárbarát p terv, diófa kivágása</t>
  </si>
  <si>
    <t>181.119.-</t>
  </si>
  <si>
    <t>javaslom a helyén számolni</t>
  </si>
  <si>
    <t>A K48-as könyvelési tételre az előző években kb. 1.800.000.- Ft-ot fordítottunk.</t>
  </si>
  <si>
    <t>2025. évben</t>
  </si>
  <si>
    <t>A faluház vezetése elkészítette a 2026. évi költségvetési tervet.</t>
  </si>
  <si>
    <t>Viszonyítási alapként mellékelem a 2025. évi tény adatokat.</t>
  </si>
  <si>
    <t>Nyugdíjasklub</t>
  </si>
  <si>
    <t>Örömtánc..</t>
  </si>
  <si>
    <t>Nosztalgia klub</t>
  </si>
  <si>
    <t>Abajdóc kórus</t>
  </si>
  <si>
    <t>Zöld Sziget Táncegyüttes</t>
  </si>
  <si>
    <t>Baba-mama klub</t>
  </si>
  <si>
    <t>Társasjáték klub</t>
  </si>
  <si>
    <t>SZESZVAME</t>
  </si>
  <si>
    <t>Szigetgyöngye SE</t>
  </si>
  <si>
    <t>Faluszépészeti Egyesület</t>
  </si>
  <si>
    <t>összesen:</t>
  </si>
  <si>
    <t>Szigetmonostori Kistermelő Egyesület</t>
  </si>
  <si>
    <t>Faluház költségvetése</t>
  </si>
  <si>
    <t>Támogatások</t>
  </si>
  <si>
    <t>iratmegsemmisítő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</si>
</sst>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_-* #,##0\ _F_t_-;\-* #,##0\ _F_t_-;_-* &quot;-&quot;??\ _F_t_-;_-@_-"/>
    <numFmt numFmtId="167" formatCode="_-* #,##0_-;\-* #,##0_-;_-* &quot;-&quot;??_-;_-@_-"/>
    <numFmt numFmtId="168" formatCode="#,##0\ &quot;Ft&quot;"/>
    <numFmt numFmtId="169" formatCode="#,##0_ ;\-#,##0\ "/>
  </numFmts>
  <fonts count="7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1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Times New Roman"/>
      <family val="1"/>
    </font>
    <font>
      <sz val="8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u val="singleAccounting"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333333"/>
      <name val="Verdana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CAB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3E5"/>
        <bgColor indexed="64"/>
      </patternFill>
    </fill>
    <fill>
      <patternFill patternType="solid">
        <fgColor rgb="FFFFF2E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ED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DDFF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7E71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165" fontId="1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6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10">
    <xf numFmtId="0" fontId="0" fillId="0" borderId="0" xfId="0"/>
    <xf numFmtId="166" fontId="0" fillId="0" borderId="0" xfId="1" applyNumberFormat="1" applyFont="1"/>
    <xf numFmtId="0" fontId="11" fillId="0" borderId="0" xfId="6" applyFont="1" applyAlignment="1">
      <alignment vertical="center"/>
    </xf>
    <xf numFmtId="0" fontId="12" fillId="0" borderId="1" xfId="7" applyFont="1" applyBorder="1" applyAlignment="1">
      <alignment horizontal="center" vertical="center" wrapText="1"/>
    </xf>
    <xf numFmtId="166" fontId="12" fillId="0" borderId="1" xfId="4" applyNumberFormat="1" applyFont="1" applyFill="1" applyBorder="1" applyAlignment="1">
      <alignment horizontal="center" vertical="center" wrapText="1"/>
    </xf>
    <xf numFmtId="0" fontId="12" fillId="0" borderId="1" xfId="6" applyFont="1" applyBorder="1" applyAlignment="1">
      <alignment vertical="center"/>
    </xf>
    <xf numFmtId="0" fontId="12" fillId="0" borderId="1" xfId="4" applyNumberFormat="1" applyFont="1" applyFill="1" applyBorder="1" applyAlignment="1">
      <alignment horizontal="center" vertical="center" wrapText="1"/>
    </xf>
    <xf numFmtId="166" fontId="11" fillId="0" borderId="0" xfId="4" applyNumberFormat="1" applyFont="1" applyFill="1" applyBorder="1" applyAlignment="1">
      <alignment vertical="center"/>
    </xf>
    <xf numFmtId="0" fontId="4" fillId="0" borderId="0" xfId="3" applyFont="1"/>
    <xf numFmtId="0" fontId="4" fillId="0" borderId="1" xfId="3" applyFont="1" applyBorder="1"/>
    <xf numFmtId="166" fontId="3" fillId="0" borderId="0" xfId="4" applyNumberFormat="1" applyFont="1" applyFill="1"/>
    <xf numFmtId="0" fontId="18" fillId="0" borderId="0" xfId="2" applyFont="1" applyAlignment="1">
      <alignment horizontal="left"/>
    </xf>
    <xf numFmtId="0" fontId="18" fillId="0" borderId="0" xfId="2" applyFont="1"/>
    <xf numFmtId="166" fontId="18" fillId="0" borderId="0" xfId="1" applyNumberFormat="1" applyFont="1"/>
    <xf numFmtId="166" fontId="0" fillId="0" borderId="0" xfId="1" applyNumberFormat="1" applyFont="1" applyFill="1"/>
    <xf numFmtId="0" fontId="3" fillId="0" borderId="0" xfId="3" applyFont="1"/>
    <xf numFmtId="166" fontId="4" fillId="0" borderId="1" xfId="4" applyNumberFormat="1" applyFont="1" applyFill="1" applyBorder="1"/>
    <xf numFmtId="166" fontId="4" fillId="0" borderId="1" xfId="4" applyNumberFormat="1" applyFont="1" applyFill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2" fillId="0" borderId="0" xfId="3"/>
    <xf numFmtId="0" fontId="5" fillId="0" borderId="1" xfId="3" applyFont="1" applyBorder="1" applyAlignment="1">
      <alignment wrapText="1"/>
    </xf>
    <xf numFmtId="166" fontId="2" fillId="0" borderId="1" xfId="4" applyNumberFormat="1" applyFill="1" applyBorder="1"/>
    <xf numFmtId="166" fontId="2" fillId="0" borderId="1" xfId="4" applyNumberFormat="1" applyFont="1" applyFill="1" applyBorder="1"/>
    <xf numFmtId="166" fontId="3" fillId="0" borderId="1" xfId="4" applyNumberFormat="1" applyFont="1" applyFill="1" applyBorder="1"/>
    <xf numFmtId="0" fontId="2" fillId="0" borderId="1" xfId="3" applyBorder="1"/>
    <xf numFmtId="166" fontId="2" fillId="0" borderId="0" xfId="4" applyNumberFormat="1" applyFill="1"/>
    <xf numFmtId="166" fontId="4" fillId="0" borderId="0" xfId="4" applyNumberFormat="1" applyFont="1" applyFill="1"/>
    <xf numFmtId="166" fontId="12" fillId="0" borderId="1" xfId="4" applyNumberFormat="1" applyFont="1" applyFill="1" applyBorder="1" applyAlignment="1">
      <alignment vertical="center"/>
    </xf>
    <xf numFmtId="0" fontId="11" fillId="0" borderId="1" xfId="6" applyFont="1" applyBorder="1" applyAlignment="1">
      <alignment horizontal="left" vertical="center" wrapText="1"/>
    </xf>
    <xf numFmtId="0" fontId="11" fillId="0" borderId="1" xfId="6" applyFont="1" applyBorder="1" applyAlignment="1">
      <alignment vertical="center"/>
    </xf>
    <xf numFmtId="166" fontId="11" fillId="0" borderId="1" xfId="4" applyNumberFormat="1" applyFont="1" applyFill="1" applyBorder="1" applyAlignment="1">
      <alignment vertical="center"/>
    </xf>
    <xf numFmtId="166" fontId="11" fillId="0" borderId="1" xfId="4" applyNumberFormat="1" applyFont="1" applyFill="1" applyBorder="1"/>
    <xf numFmtId="0" fontId="13" fillId="0" borderId="1" xfId="6" applyFont="1" applyBorder="1" applyAlignment="1">
      <alignment vertical="center"/>
    </xf>
    <xf numFmtId="0" fontId="11" fillId="0" borderId="0" xfId="6" applyFont="1" applyAlignment="1">
      <alignment horizontal="left" vertical="center" wrapText="1"/>
    </xf>
    <xf numFmtId="166" fontId="12" fillId="0" borderId="0" xfId="4" applyNumberFormat="1" applyFont="1" applyFill="1" applyBorder="1" applyAlignment="1">
      <alignment horizontal="center" vertical="center" wrapText="1"/>
    </xf>
    <xf numFmtId="0" fontId="11" fillId="0" borderId="1" xfId="3" applyFont="1" applyBorder="1"/>
    <xf numFmtId="166" fontId="2" fillId="0" borderId="1" xfId="3" applyNumberFormat="1" applyBorder="1"/>
    <xf numFmtId="166" fontId="3" fillId="0" borderId="0" xfId="1" applyNumberFormat="1" applyFont="1" applyFill="1"/>
    <xf numFmtId="166" fontId="0" fillId="3" borderId="0" xfId="1" applyNumberFormat="1" applyFont="1" applyFill="1"/>
    <xf numFmtId="0" fontId="0" fillId="3" borderId="0" xfId="0" applyFill="1"/>
    <xf numFmtId="0" fontId="21" fillId="0" borderId="1" xfId="7" applyFont="1" applyBorder="1" applyAlignment="1">
      <alignment horizontal="center" vertical="center" wrapText="1"/>
    </xf>
    <xf numFmtId="0" fontId="21" fillId="0" borderId="0" xfId="7" applyFont="1" applyAlignment="1">
      <alignment horizontal="center" vertical="center" wrapText="1"/>
    </xf>
    <xf numFmtId="0" fontId="21" fillId="0" borderId="0" xfId="7" applyFont="1" applyAlignment="1">
      <alignment vertical="center"/>
    </xf>
    <xf numFmtId="0" fontId="21" fillId="0" borderId="0" xfId="7" applyFont="1"/>
    <xf numFmtId="166" fontId="21" fillId="0" borderId="0" xfId="4" applyNumberFormat="1" applyFont="1" applyFill="1" applyBorder="1"/>
    <xf numFmtId="0" fontId="21" fillId="0" borderId="1" xfId="7" applyFont="1" applyBorder="1"/>
    <xf numFmtId="166" fontId="21" fillId="0" borderId="1" xfId="4" applyNumberFormat="1" applyFont="1" applyFill="1" applyBorder="1" applyAlignment="1">
      <alignment horizontal="center" vertical="center"/>
    </xf>
    <xf numFmtId="0" fontId="3" fillId="0" borderId="1" xfId="3" applyFont="1" applyBorder="1"/>
    <xf numFmtId="0" fontId="3" fillId="2" borderId="1" xfId="3" applyFont="1" applyFill="1" applyBorder="1"/>
    <xf numFmtId="0" fontId="21" fillId="0" borderId="2" xfId="7" applyFont="1" applyBorder="1" applyAlignment="1">
      <alignment horizontal="center" vertical="center" wrapText="1"/>
    </xf>
    <xf numFmtId="166" fontId="21" fillId="0" borderId="1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 applyBorder="1"/>
    <xf numFmtId="166" fontId="0" fillId="0" borderId="0" xfId="0" applyNumberFormat="1"/>
    <xf numFmtId="166" fontId="21" fillId="0" borderId="1" xfId="4" applyNumberFormat="1" applyFont="1" applyFill="1" applyBorder="1" applyAlignment="1">
      <alignment horizontal="center" vertical="center" wrapText="1"/>
    </xf>
    <xf numFmtId="0" fontId="0" fillId="0" borderId="1" xfId="0" applyBorder="1"/>
    <xf numFmtId="166" fontId="0" fillId="0" borderId="1" xfId="1" applyNumberFormat="1" applyFont="1" applyBorder="1"/>
    <xf numFmtId="166" fontId="18" fillId="0" borderId="1" xfId="1" applyNumberFormat="1" applyFont="1" applyBorder="1"/>
    <xf numFmtId="166" fontId="18" fillId="0" borderId="1" xfId="1" applyNumberFormat="1" applyFont="1" applyBorder="1" applyAlignment="1">
      <alignment wrapText="1"/>
    </xf>
    <xf numFmtId="0" fontId="17" fillId="0" borderId="1" xfId="0" applyFont="1" applyBorder="1"/>
    <xf numFmtId="0" fontId="0" fillId="3" borderId="1" xfId="0" applyFill="1" applyBorder="1"/>
    <xf numFmtId="166" fontId="0" fillId="3" borderId="1" xfId="1" applyNumberFormat="1" applyFont="1" applyFill="1" applyBorder="1"/>
    <xf numFmtId="166" fontId="18" fillId="3" borderId="1" xfId="1" applyNumberFormat="1" applyFont="1" applyFill="1" applyBorder="1"/>
    <xf numFmtId="0" fontId="17" fillId="3" borderId="1" xfId="0" applyFont="1" applyFill="1" applyBorder="1"/>
    <xf numFmtId="166" fontId="18" fillId="0" borderId="1" xfId="1" applyNumberFormat="1" applyFont="1" applyFill="1" applyBorder="1"/>
    <xf numFmtId="166" fontId="0" fillId="4" borderId="1" xfId="1" applyNumberFormat="1" applyFont="1" applyFill="1" applyBorder="1"/>
    <xf numFmtId="166" fontId="0" fillId="0" borderId="1" xfId="1" applyNumberFormat="1" applyFont="1" applyFill="1" applyBorder="1"/>
    <xf numFmtId="166" fontId="0" fillId="2" borderId="1" xfId="1" applyNumberFormat="1" applyFont="1" applyFill="1" applyBorder="1"/>
    <xf numFmtId="166" fontId="0" fillId="0" borderId="1" xfId="1" applyNumberFormat="1" applyFont="1" applyBorder="1" applyAlignment="1">
      <alignment horizontal="center"/>
    </xf>
    <xf numFmtId="166" fontId="0" fillId="5" borderId="1" xfId="1" applyNumberFormat="1" applyFont="1" applyFill="1" applyBorder="1"/>
    <xf numFmtId="166" fontId="0" fillId="0" borderId="1" xfId="0" applyNumberFormat="1" applyBorder="1"/>
    <xf numFmtId="166" fontId="0" fillId="6" borderId="1" xfId="1" applyNumberFormat="1" applyFont="1" applyFill="1" applyBorder="1"/>
    <xf numFmtId="166" fontId="0" fillId="0" borderId="0" xfId="1" applyNumberFormat="1" applyFont="1" applyBorder="1"/>
    <xf numFmtId="166" fontId="2" fillId="0" borderId="0" xfId="1" applyNumberFormat="1" applyFont="1" applyFill="1"/>
    <xf numFmtId="166" fontId="4" fillId="0" borderId="0" xfId="1" applyNumberFormat="1" applyFont="1" applyFill="1"/>
    <xf numFmtId="166" fontId="2" fillId="0" borderId="1" xfId="1" applyNumberFormat="1" applyFont="1" applyFill="1" applyBorder="1"/>
    <xf numFmtId="166" fontId="20" fillId="0" borderId="1" xfId="1" applyNumberFormat="1" applyFont="1" applyBorder="1"/>
    <xf numFmtId="166" fontId="11" fillId="0" borderId="1" xfId="1" applyNumberFormat="1" applyFont="1" applyFill="1" applyBorder="1" applyAlignment="1">
      <alignment vertical="center"/>
    </xf>
    <xf numFmtId="166" fontId="11" fillId="0" borderId="0" xfId="6" applyNumberFormat="1" applyFont="1" applyAlignment="1">
      <alignment vertical="center"/>
    </xf>
    <xf numFmtId="0" fontId="2" fillId="2" borderId="1" xfId="3" applyFill="1" applyBorder="1"/>
    <xf numFmtId="0" fontId="2" fillId="0" borderId="0" xfId="3" applyAlignment="1">
      <alignment horizontal="left"/>
    </xf>
    <xf numFmtId="0" fontId="2" fillId="0" borderId="1" xfId="3" applyBorder="1" applyAlignment="1">
      <alignment horizontal="left"/>
    </xf>
    <xf numFmtId="166" fontId="2" fillId="0" borderId="1" xfId="1" applyNumberFormat="1" applyFont="1" applyFill="1" applyBorder="1" applyAlignment="1">
      <alignment horizontal="left"/>
    </xf>
    <xf numFmtId="166" fontId="3" fillId="0" borderId="1" xfId="1" applyNumberFormat="1" applyFont="1" applyFill="1" applyBorder="1"/>
    <xf numFmtId="166" fontId="3" fillId="0" borderId="0" xfId="1" applyNumberFormat="1" applyFont="1" applyFill="1" applyBorder="1"/>
    <xf numFmtId="166" fontId="11" fillId="0" borderId="0" xfId="1" applyNumberFormat="1" applyFont="1" applyFill="1" applyBorder="1" applyAlignment="1">
      <alignment vertical="center"/>
    </xf>
    <xf numFmtId="0" fontId="2" fillId="0" borderId="0" xfId="3" applyAlignment="1">
      <alignment horizontal="center"/>
    </xf>
    <xf numFmtId="0" fontId="2" fillId="0" borderId="1" xfId="3" applyBorder="1" applyAlignment="1">
      <alignment horizontal="center"/>
    </xf>
    <xf numFmtId="166" fontId="11" fillId="0" borderId="1" xfId="6" applyNumberFormat="1" applyFont="1" applyBorder="1" applyAlignment="1">
      <alignment vertical="center"/>
    </xf>
    <xf numFmtId="166" fontId="2" fillId="0" borderId="1" xfId="3" applyNumberFormat="1" applyBorder="1" applyAlignment="1">
      <alignment horizontal="center"/>
    </xf>
    <xf numFmtId="0" fontId="4" fillId="0" borderId="1" xfId="8" applyFont="1" applyBorder="1" applyAlignment="1">
      <alignment horizontal="center" vertical="center" wrapText="1"/>
    </xf>
    <xf numFmtId="166" fontId="4" fillId="0" borderId="1" xfId="9" applyNumberFormat="1" applyFont="1" applyFill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 wrapText="1"/>
    </xf>
    <xf numFmtId="166" fontId="4" fillId="0" borderId="1" xfId="1" applyNumberFormat="1" applyFont="1" applyFill="1" applyBorder="1"/>
    <xf numFmtId="166" fontId="20" fillId="0" borderId="1" xfId="1" applyNumberFormat="1" applyFont="1" applyFill="1" applyBorder="1"/>
    <xf numFmtId="166" fontId="16" fillId="0" borderId="1" xfId="1" applyNumberFormat="1" applyFont="1" applyFill="1" applyBorder="1" applyAlignment="1">
      <alignment horizontal="center" vertical="center" wrapText="1"/>
    </xf>
    <xf numFmtId="166" fontId="3" fillId="0" borderId="0" xfId="3" applyNumberFormat="1" applyFont="1"/>
    <xf numFmtId="0" fontId="18" fillId="0" borderId="1" xfId="0" applyFont="1" applyBorder="1"/>
    <xf numFmtId="0" fontId="19" fillId="0" borderId="1" xfId="0" applyFont="1" applyBorder="1"/>
    <xf numFmtId="166" fontId="3" fillId="0" borderId="1" xfId="10" applyNumberFormat="1" applyFont="1" applyFill="1" applyBorder="1"/>
    <xf numFmtId="166" fontId="3" fillId="0" borderId="1" xfId="3" applyNumberFormat="1" applyFont="1" applyBorder="1"/>
    <xf numFmtId="0" fontId="2" fillId="0" borderId="1" xfId="8" applyFont="1" applyBorder="1" applyAlignment="1">
      <alignment horizontal="left" vertical="center" wrapText="1"/>
    </xf>
    <xf numFmtId="166" fontId="2" fillId="0" borderId="1" xfId="9" applyNumberFormat="1" applyFont="1" applyFill="1" applyBorder="1" applyAlignment="1">
      <alignment horizontal="left" vertical="center" wrapText="1"/>
    </xf>
    <xf numFmtId="0" fontId="15" fillId="0" borderId="1" xfId="8" applyFont="1" applyBorder="1" applyAlignment="1">
      <alignment horizontal="left" vertical="center" wrapText="1"/>
    </xf>
    <xf numFmtId="166" fontId="15" fillId="0" borderId="1" xfId="1" applyNumberFormat="1" applyFont="1" applyFill="1" applyBorder="1" applyAlignment="1">
      <alignment horizontal="left" vertical="center" wrapText="1"/>
    </xf>
    <xf numFmtId="166" fontId="15" fillId="0" borderId="1" xfId="9" applyNumberFormat="1" applyFont="1" applyFill="1" applyBorder="1" applyAlignment="1">
      <alignment horizontal="left" vertical="center" wrapText="1"/>
    </xf>
    <xf numFmtId="0" fontId="2" fillId="0" borderId="1" xfId="8" applyFont="1" applyBorder="1" applyAlignment="1">
      <alignment horizontal="left"/>
    </xf>
    <xf numFmtId="166" fontId="2" fillId="0" borderId="1" xfId="9" applyNumberFormat="1" applyFont="1" applyFill="1" applyBorder="1" applyAlignment="1">
      <alignment horizontal="left"/>
    </xf>
    <xf numFmtId="0" fontId="4" fillId="2" borderId="0" xfId="3" applyFont="1" applyFill="1"/>
    <xf numFmtId="0" fontId="3" fillId="2" borderId="0" xfId="3" applyFont="1" applyFill="1"/>
    <xf numFmtId="165" fontId="3" fillId="0" borderId="1" xfId="1" applyFont="1" applyFill="1" applyBorder="1"/>
    <xf numFmtId="166" fontId="27" fillId="0" borderId="1" xfId="1" applyNumberFormat="1" applyFont="1" applyFill="1" applyBorder="1"/>
    <xf numFmtId="166" fontId="16" fillId="2" borderId="1" xfId="9" applyNumberFormat="1" applyFont="1" applyFill="1" applyBorder="1" applyAlignment="1">
      <alignment horizontal="center" vertical="center" wrapText="1"/>
    </xf>
    <xf numFmtId="0" fontId="16" fillId="2" borderId="1" xfId="8" applyFont="1" applyFill="1" applyBorder="1" applyAlignment="1">
      <alignment horizontal="center" vertical="center" wrapText="1"/>
    </xf>
    <xf numFmtId="0" fontId="15" fillId="2" borderId="1" xfId="8" applyFont="1" applyFill="1" applyBorder="1" applyAlignment="1">
      <alignment horizontal="left" vertical="center" wrapText="1"/>
    </xf>
    <xf numFmtId="166" fontId="2" fillId="2" borderId="1" xfId="9" applyNumberFormat="1" applyFont="1" applyFill="1" applyBorder="1" applyAlignment="1">
      <alignment horizontal="left"/>
    </xf>
    <xf numFmtId="166" fontId="3" fillId="2" borderId="1" xfId="10" applyNumberFormat="1" applyFont="1" applyFill="1" applyBorder="1"/>
    <xf numFmtId="166" fontId="3" fillId="2" borderId="1" xfId="4" applyNumberFormat="1" applyFont="1" applyFill="1" applyBorder="1"/>
    <xf numFmtId="166" fontId="15" fillId="2" borderId="1" xfId="9" applyNumberFormat="1" applyFont="1" applyFill="1" applyBorder="1" applyAlignment="1">
      <alignment horizontal="left" vertical="center" wrapText="1"/>
    </xf>
    <xf numFmtId="166" fontId="3" fillId="2" borderId="0" xfId="4" applyNumberFormat="1" applyFont="1" applyFill="1"/>
    <xf numFmtId="166" fontId="18" fillId="2" borderId="1" xfId="1" applyNumberFormat="1" applyFont="1" applyFill="1" applyBorder="1"/>
    <xf numFmtId="165" fontId="0" fillId="0" borderId="0" xfId="1" applyFont="1"/>
    <xf numFmtId="165" fontId="0" fillId="0" borderId="1" xfId="1" applyFont="1" applyFill="1" applyBorder="1"/>
    <xf numFmtId="165" fontId="0" fillId="0" borderId="1" xfId="1" applyFont="1" applyBorder="1"/>
    <xf numFmtId="165" fontId="0" fillId="3" borderId="1" xfId="1" applyFont="1" applyFill="1" applyBorder="1"/>
    <xf numFmtId="166" fontId="0" fillId="3" borderId="1" xfId="0" applyNumberFormat="1" applyFill="1" applyBorder="1"/>
    <xf numFmtId="165" fontId="0" fillId="0" borderId="0" xfId="1" applyFont="1" applyBorder="1"/>
    <xf numFmtId="166" fontId="20" fillId="0" borderId="0" xfId="1" applyNumberFormat="1" applyFont="1" applyFill="1"/>
    <xf numFmtId="166" fontId="2" fillId="0" borderId="0" xfId="3" applyNumberFormat="1"/>
    <xf numFmtId="166" fontId="2" fillId="0" borderId="0" xfId="4" applyNumberFormat="1" applyFont="1" applyFill="1" applyBorder="1"/>
    <xf numFmtId="166" fontId="2" fillId="0" borderId="0" xfId="4" applyNumberFormat="1" applyFill="1" applyBorder="1"/>
    <xf numFmtId="166" fontId="2" fillId="0" borderId="2" xfId="4" applyNumberFormat="1" applyFill="1" applyBorder="1"/>
    <xf numFmtId="0" fontId="31" fillId="0" borderId="1" xfId="6" applyFont="1" applyBorder="1" applyAlignment="1">
      <alignment horizontal="left" vertical="center" wrapText="1"/>
    </xf>
    <xf numFmtId="166" fontId="32" fillId="0" borderId="1" xfId="4" applyNumberFormat="1" applyFont="1" applyFill="1" applyBorder="1" applyAlignment="1">
      <alignment horizontal="center" vertical="center" wrapText="1"/>
    </xf>
    <xf numFmtId="0" fontId="31" fillId="0" borderId="1" xfId="6" applyFont="1" applyBorder="1" applyAlignment="1">
      <alignment vertical="center"/>
    </xf>
    <xf numFmtId="166" fontId="31" fillId="0" borderId="1" xfId="4" applyNumberFormat="1" applyFont="1" applyFill="1" applyBorder="1" applyAlignment="1">
      <alignment vertical="center"/>
    </xf>
    <xf numFmtId="166" fontId="31" fillId="0" borderId="1" xfId="1" applyNumberFormat="1" applyFont="1" applyFill="1" applyBorder="1" applyAlignment="1">
      <alignment vertical="center"/>
    </xf>
    <xf numFmtId="166" fontId="31" fillId="0" borderId="1" xfId="6" applyNumberFormat="1" applyFont="1" applyBorder="1" applyAlignment="1">
      <alignment vertical="center"/>
    </xf>
    <xf numFmtId="0" fontId="33" fillId="0" borderId="1" xfId="6" applyFont="1" applyBorder="1" applyAlignment="1">
      <alignment vertical="center"/>
    </xf>
    <xf numFmtId="166" fontId="30" fillId="0" borderId="1" xfId="0" applyNumberFormat="1" applyFont="1" applyBorder="1"/>
    <xf numFmtId="166" fontId="30" fillId="0" borderId="1" xfId="1" applyNumberFormat="1" applyFont="1" applyBorder="1"/>
    <xf numFmtId="9" fontId="0" fillId="0" borderId="0" xfId="14" applyFont="1"/>
    <xf numFmtId="0" fontId="2" fillId="0" borderId="1" xfId="8" applyFont="1" applyBorder="1" applyAlignment="1">
      <alignment horizontal="center"/>
    </xf>
    <xf numFmtId="0" fontId="15" fillId="0" borderId="1" xfId="8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0" xfId="3" applyFont="1" applyAlignment="1">
      <alignment horizontal="center"/>
    </xf>
    <xf numFmtId="166" fontId="34" fillId="2" borderId="0" xfId="1" applyNumberFormat="1" applyFont="1" applyFill="1"/>
    <xf numFmtId="166" fontId="0" fillId="2" borderId="0" xfId="1" applyNumberFormat="1" applyFont="1" applyFill="1"/>
    <xf numFmtId="166" fontId="2" fillId="7" borderId="1" xfId="9" applyNumberFormat="1" applyFont="1" applyFill="1" applyBorder="1" applyAlignment="1">
      <alignment horizontal="left"/>
    </xf>
    <xf numFmtId="166" fontId="0" fillId="5" borderId="1" xfId="0" applyNumberFormat="1" applyFill="1" applyBorder="1"/>
    <xf numFmtId="166" fontId="0" fillId="2" borderId="1" xfId="0" applyNumberFormat="1" applyFill="1" applyBorder="1"/>
    <xf numFmtId="166" fontId="0" fillId="8" borderId="1" xfId="0" applyNumberFormat="1" applyFill="1" applyBorder="1"/>
    <xf numFmtId="0" fontId="37" fillId="2" borderId="0" xfId="0" applyFont="1" applyFill="1"/>
    <xf numFmtId="165" fontId="0" fillId="2" borderId="0" xfId="1" applyFont="1" applyFill="1"/>
    <xf numFmtId="0" fontId="0" fillId="2" borderId="0" xfId="0" applyFill="1"/>
    <xf numFmtId="166" fontId="0" fillId="0" borderId="0" xfId="1" applyNumberFormat="1" applyFont="1" applyAlignment="1">
      <alignment horizontal="center" vertical="center"/>
    </xf>
    <xf numFmtId="166" fontId="3" fillId="5" borderId="1" xfId="4" applyNumberFormat="1" applyFont="1" applyFill="1" applyBorder="1"/>
    <xf numFmtId="166" fontId="0" fillId="0" borderId="1" xfId="1" applyNumberFormat="1" applyFont="1" applyBorder="1" applyAlignment="1">
      <alignment vertical="center"/>
    </xf>
    <xf numFmtId="166" fontId="0" fillId="0" borderId="1" xfId="1" applyNumberFormat="1" applyFont="1" applyFill="1" applyBorder="1" applyAlignment="1">
      <alignment vertical="center"/>
    </xf>
    <xf numFmtId="166" fontId="20" fillId="0" borderId="1" xfId="1" applyNumberFormat="1" applyFont="1" applyFill="1" applyBorder="1" applyAlignment="1">
      <alignment vertical="center"/>
    </xf>
    <xf numFmtId="166" fontId="25" fillId="0" borderId="1" xfId="1" applyNumberFormat="1" applyFont="1" applyFill="1" applyBorder="1" applyAlignment="1">
      <alignment horizontal="center" vertical="center"/>
    </xf>
    <xf numFmtId="166" fontId="26" fillId="0" borderId="1" xfId="1" applyNumberFormat="1" applyFont="1" applyFill="1" applyBorder="1" applyAlignment="1">
      <alignment horizontal="center" vertical="center"/>
    </xf>
    <xf numFmtId="166" fontId="29" fillId="0" borderId="1" xfId="1" applyNumberFormat="1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3" fontId="4" fillId="0" borderId="0" xfId="3" applyNumberFormat="1" applyFont="1"/>
    <xf numFmtId="3" fontId="0" fillId="0" borderId="0" xfId="1" applyNumberFormat="1" applyFont="1"/>
    <xf numFmtId="3" fontId="2" fillId="0" borderId="0" xfId="3" applyNumberFormat="1" applyAlignment="1">
      <alignment horizontal="center"/>
    </xf>
    <xf numFmtId="3" fontId="2" fillId="0" borderId="1" xfId="3" applyNumberFormat="1" applyBorder="1" applyAlignment="1">
      <alignment horizontal="center"/>
    </xf>
    <xf numFmtId="3" fontId="2" fillId="0" borderId="0" xfId="3" applyNumberFormat="1"/>
    <xf numFmtId="3" fontId="4" fillId="0" borderId="1" xfId="3" applyNumberFormat="1" applyFont="1" applyBorder="1"/>
    <xf numFmtId="3" fontId="0" fillId="0" borderId="1" xfId="1" applyNumberFormat="1" applyFont="1" applyBorder="1"/>
    <xf numFmtId="3" fontId="0" fillId="3" borderId="1" xfId="1" applyNumberFormat="1" applyFont="1" applyFill="1" applyBorder="1"/>
    <xf numFmtId="0" fontId="4" fillId="0" borderId="1" xfId="3" applyFont="1" applyBorder="1" applyAlignment="1">
      <alignment horizontal="center" vertical="center"/>
    </xf>
    <xf numFmtId="0" fontId="4" fillId="2" borderId="0" xfId="3" applyFont="1" applyFill="1" applyAlignment="1">
      <alignment horizontal="left"/>
    </xf>
    <xf numFmtId="0" fontId="39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166" fontId="2" fillId="2" borderId="1" xfId="10" applyNumberFormat="1" applyFont="1" applyFill="1" applyBorder="1"/>
    <xf numFmtId="166" fontId="2" fillId="0" borderId="1" xfId="10" applyNumberFormat="1" applyFont="1" applyFill="1" applyBorder="1"/>
    <xf numFmtId="166" fontId="2" fillId="9" borderId="1" xfId="1" applyNumberFormat="1" applyFont="1" applyFill="1" applyBorder="1" applyAlignment="1">
      <alignment horizontal="left"/>
    </xf>
    <xf numFmtId="166" fontId="3" fillId="9" borderId="1" xfId="1" applyNumberFormat="1" applyFont="1" applyFill="1" applyBorder="1"/>
    <xf numFmtId="166" fontId="2" fillId="9" borderId="1" xfId="1" applyNumberFormat="1" applyFont="1" applyFill="1" applyBorder="1"/>
    <xf numFmtId="166" fontId="4" fillId="9" borderId="1" xfId="1" applyNumberFormat="1" applyFont="1" applyFill="1" applyBorder="1"/>
    <xf numFmtId="166" fontId="3" fillId="9" borderId="0" xfId="1" applyNumberFormat="1" applyFont="1" applyFill="1" applyBorder="1"/>
    <xf numFmtId="166" fontId="2" fillId="2" borderId="1" xfId="4" applyNumberFormat="1" applyFont="1" applyFill="1" applyBorder="1"/>
    <xf numFmtId="0" fontId="2" fillId="9" borderId="1" xfId="3" applyFill="1" applyBorder="1"/>
    <xf numFmtId="0" fontId="18" fillId="9" borderId="1" xfId="0" applyFont="1" applyFill="1" applyBorder="1"/>
    <xf numFmtId="0" fontId="2" fillId="9" borderId="1" xfId="8" applyFont="1" applyFill="1" applyBorder="1" applyAlignment="1">
      <alignment horizontal="left"/>
    </xf>
    <xf numFmtId="3" fontId="0" fillId="10" borderId="1" xfId="1" applyNumberFormat="1" applyFont="1" applyFill="1" applyBorder="1"/>
    <xf numFmtId="0" fontId="3" fillId="0" borderId="1" xfId="8" applyBorder="1"/>
    <xf numFmtId="0" fontId="40" fillId="0" borderId="1" xfId="0" applyFont="1" applyBorder="1"/>
    <xf numFmtId="166" fontId="1" fillId="0" borderId="1" xfId="1" applyNumberFormat="1" applyBorder="1"/>
    <xf numFmtId="166" fontId="20" fillId="2" borderId="1" xfId="1" applyNumberFormat="1" applyFont="1" applyFill="1" applyBorder="1"/>
    <xf numFmtId="0" fontId="41" fillId="10" borderId="1" xfId="0" applyFont="1" applyFill="1" applyBorder="1"/>
    <xf numFmtId="166" fontId="4" fillId="2" borderId="1" xfId="4" applyNumberFormat="1" applyFont="1" applyFill="1" applyBorder="1"/>
    <xf numFmtId="0" fontId="4" fillId="2" borderId="1" xfId="3" applyFont="1" applyFill="1" applyBorder="1"/>
    <xf numFmtId="166" fontId="4" fillId="2" borderId="1" xfId="4" applyNumberFormat="1" applyFont="1" applyFill="1" applyBorder="1" applyAlignment="1">
      <alignment horizontal="center"/>
    </xf>
    <xf numFmtId="165" fontId="0" fillId="3" borderId="0" xfId="1" applyFont="1" applyFill="1"/>
    <xf numFmtId="166" fontId="0" fillId="0" borderId="1" xfId="1" applyNumberFormat="1" applyFont="1" applyBorder="1" applyAlignment="1">
      <alignment wrapText="1"/>
    </xf>
    <xf numFmtId="166" fontId="0" fillId="0" borderId="1" xfId="1" applyNumberFormat="1" applyFont="1" applyBorder="1" applyAlignment="1">
      <alignment horizontal="center" wrapText="1"/>
    </xf>
    <xf numFmtId="166" fontId="3" fillId="0" borderId="0" xfId="1" applyNumberFormat="1" applyFont="1" applyFill="1" applyAlignment="1">
      <alignment horizontal="center"/>
    </xf>
    <xf numFmtId="166" fontId="11" fillId="0" borderId="1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 wrapText="1"/>
    </xf>
    <xf numFmtId="166" fontId="0" fillId="0" borderId="1" xfId="1" applyNumberFormat="1" applyFont="1" applyBorder="1" applyAlignment="1">
      <alignment horizontal="right"/>
    </xf>
    <xf numFmtId="166" fontId="20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9" fontId="0" fillId="0" borderId="1" xfId="14" applyFont="1" applyBorder="1"/>
    <xf numFmtId="166" fontId="20" fillId="0" borderId="1" xfId="1" applyNumberFormat="1" applyFont="1" applyFill="1" applyBorder="1" applyAlignment="1">
      <alignment wrapText="1"/>
    </xf>
    <xf numFmtId="166" fontId="0" fillId="0" borderId="1" xfId="1" applyNumberFormat="1" applyFont="1" applyFill="1" applyBorder="1" applyAlignment="1">
      <alignment wrapText="1"/>
    </xf>
    <xf numFmtId="9" fontId="0" fillId="0" borderId="1" xfId="14" applyFont="1" applyFill="1" applyBorder="1"/>
    <xf numFmtId="166" fontId="0" fillId="0" borderId="0" xfId="1" applyNumberFormat="1" applyFont="1" applyFill="1" applyBorder="1"/>
    <xf numFmtId="166" fontId="2" fillId="0" borderId="1" xfId="1" applyNumberFormat="1" applyFont="1" applyFill="1" applyBorder="1" applyAlignment="1">
      <alignment horizontal="center"/>
    </xf>
    <xf numFmtId="166" fontId="20" fillId="9" borderId="2" xfId="1" applyNumberFormat="1" applyFont="1" applyFill="1" applyBorder="1" applyAlignment="1">
      <alignment wrapText="1"/>
    </xf>
    <xf numFmtId="166" fontId="42" fillId="12" borderId="1" xfId="1" applyNumberFormat="1" applyFont="1" applyFill="1" applyBorder="1" applyAlignment="1">
      <alignment wrapText="1"/>
    </xf>
    <xf numFmtId="166" fontId="0" fillId="9" borderId="2" xfId="1" applyNumberFormat="1" applyFont="1" applyFill="1" applyBorder="1"/>
    <xf numFmtId="166" fontId="0" fillId="12" borderId="1" xfId="1" applyNumberFormat="1" applyFont="1" applyFill="1" applyBorder="1"/>
    <xf numFmtId="166" fontId="0" fillId="3" borderId="2" xfId="1" applyNumberFormat="1" applyFont="1" applyFill="1" applyBorder="1"/>
    <xf numFmtId="166" fontId="0" fillId="12" borderId="0" xfId="1" applyNumberFormat="1" applyFont="1" applyFill="1" applyBorder="1"/>
    <xf numFmtId="166" fontId="0" fillId="9" borderId="0" xfId="1" applyNumberFormat="1" applyFont="1" applyFill="1"/>
    <xf numFmtId="166" fontId="0" fillId="12" borderId="5" xfId="1" applyNumberFormat="1" applyFont="1" applyFill="1" applyBorder="1"/>
    <xf numFmtId="166" fontId="0" fillId="9" borderId="1" xfId="1" applyNumberFormat="1" applyFont="1" applyFill="1" applyBorder="1"/>
    <xf numFmtId="166" fontId="0" fillId="0" borderId="2" xfId="1" applyNumberFormat="1" applyFont="1" applyFill="1" applyBorder="1"/>
    <xf numFmtId="166" fontId="0" fillId="0" borderId="2" xfId="1" applyNumberFormat="1" applyFont="1" applyBorder="1"/>
    <xf numFmtId="166" fontId="42" fillId="0" borderId="1" xfId="1" applyNumberFormat="1" applyFont="1" applyBorder="1"/>
    <xf numFmtId="166" fontId="42" fillId="0" borderId="1" xfId="1" applyNumberFormat="1" applyFont="1" applyBorder="1" applyAlignment="1">
      <alignment horizontal="center"/>
    </xf>
    <xf numFmtId="9" fontId="0" fillId="0" borderId="0" xfId="14" applyFont="1" applyFill="1"/>
    <xf numFmtId="3" fontId="0" fillId="0" borderId="1" xfId="1" applyNumberFormat="1" applyFont="1" applyFill="1" applyBorder="1"/>
    <xf numFmtId="9" fontId="0" fillId="3" borderId="0" xfId="14" applyFont="1" applyFill="1"/>
    <xf numFmtId="166" fontId="42" fillId="11" borderId="1" xfId="1" applyNumberFormat="1" applyFont="1" applyFill="1" applyBorder="1"/>
    <xf numFmtId="166" fontId="0" fillId="11" borderId="1" xfId="1" applyNumberFormat="1" applyFont="1" applyFill="1" applyBorder="1"/>
    <xf numFmtId="3" fontId="0" fillId="0" borderId="3" xfId="1" applyNumberFormat="1" applyFont="1" applyBorder="1"/>
    <xf numFmtId="166" fontId="0" fillId="0" borderId="3" xfId="1" applyNumberFormat="1" applyFont="1" applyBorder="1"/>
    <xf numFmtId="166" fontId="0" fillId="0" borderId="5" xfId="1" applyNumberFormat="1" applyFont="1" applyBorder="1"/>
    <xf numFmtId="166" fontId="0" fillId="11" borderId="5" xfId="1" applyNumberFormat="1" applyFont="1" applyFill="1" applyBorder="1"/>
    <xf numFmtId="166" fontId="0" fillId="11" borderId="0" xfId="1" applyNumberFormat="1" applyFont="1" applyFill="1" applyBorder="1"/>
    <xf numFmtId="166" fontId="42" fillId="0" borderId="1" xfId="1" applyNumberFormat="1" applyFont="1" applyBorder="1" applyAlignment="1">
      <alignment horizontal="center" wrapText="1"/>
    </xf>
    <xf numFmtId="166" fontId="43" fillId="13" borderId="1" xfId="1" applyNumberFormat="1" applyFont="1" applyFill="1" applyBorder="1"/>
    <xf numFmtId="166" fontId="2" fillId="12" borderId="1" xfId="1" applyNumberFormat="1" applyFont="1" applyFill="1" applyBorder="1" applyAlignment="1">
      <alignment horizontal="left"/>
    </xf>
    <xf numFmtId="166" fontId="3" fillId="12" borderId="1" xfId="1" applyNumberFormat="1" applyFont="1" applyFill="1" applyBorder="1"/>
    <xf numFmtId="166" fontId="3" fillId="12" borderId="5" xfId="1" applyNumberFormat="1" applyFont="1" applyFill="1" applyBorder="1"/>
    <xf numFmtId="166" fontId="2" fillId="12" borderId="1" xfId="1" applyNumberFormat="1" applyFont="1" applyFill="1" applyBorder="1"/>
    <xf numFmtId="3" fontId="2" fillId="0" borderId="2" xfId="3" applyNumberFormat="1" applyBorder="1" applyAlignment="1">
      <alignment horizontal="center"/>
    </xf>
    <xf numFmtId="0" fontId="2" fillId="0" borderId="1" xfId="3" applyBorder="1" applyAlignment="1">
      <alignment wrapText="1"/>
    </xf>
    <xf numFmtId="166" fontId="20" fillId="0" borderId="2" xfId="1" applyNumberFormat="1" applyFont="1" applyFill="1" applyBorder="1"/>
    <xf numFmtId="166" fontId="0" fillId="2" borderId="2" xfId="1" applyNumberFormat="1" applyFont="1" applyFill="1" applyBorder="1"/>
    <xf numFmtId="165" fontId="0" fillId="0" borderId="1" xfId="1" applyFont="1" applyBorder="1" applyAlignment="1">
      <alignment horizontal="center"/>
    </xf>
    <xf numFmtId="164" fontId="0" fillId="0" borderId="1" xfId="1" applyNumberFormat="1" applyFont="1" applyBorder="1"/>
    <xf numFmtId="166" fontId="42" fillId="0" borderId="2" xfId="1" applyNumberFormat="1" applyFont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166" fontId="0" fillId="0" borderId="3" xfId="1" applyNumberFormat="1" applyFont="1" applyFill="1" applyBorder="1"/>
    <xf numFmtId="166" fontId="4" fillId="2" borderId="1" xfId="1" applyNumberFormat="1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center"/>
    </xf>
    <xf numFmtId="166" fontId="2" fillId="14" borderId="1" xfId="1" applyNumberFormat="1" applyFont="1" applyFill="1" applyBorder="1" applyAlignment="1">
      <alignment horizontal="center"/>
    </xf>
    <xf numFmtId="166" fontId="3" fillId="14" borderId="1" xfId="1" applyNumberFormat="1" applyFont="1" applyFill="1" applyBorder="1"/>
    <xf numFmtId="166" fontId="0" fillId="2" borderId="1" xfId="1" applyNumberFormat="1" applyFont="1" applyFill="1" applyBorder="1" applyAlignment="1">
      <alignment horizontal="center" wrapText="1"/>
    </xf>
    <xf numFmtId="166" fontId="42" fillId="2" borderId="1" xfId="1" applyNumberFormat="1" applyFont="1" applyFill="1" applyBorder="1" applyAlignment="1">
      <alignment horizontal="center" wrapText="1"/>
    </xf>
    <xf numFmtId="9" fontId="42" fillId="0" borderId="2" xfId="0" applyNumberFormat="1" applyFont="1" applyBorder="1" applyAlignment="1">
      <alignment horizontal="center" wrapText="1"/>
    </xf>
    <xf numFmtId="166" fontId="0" fillId="0" borderId="2" xfId="0" applyNumberFormat="1" applyBorder="1"/>
    <xf numFmtId="0" fontId="0" fillId="0" borderId="2" xfId="0" applyBorder="1"/>
    <xf numFmtId="166" fontId="0" fillId="3" borderId="2" xfId="0" applyNumberFormat="1" applyFill="1" applyBorder="1"/>
    <xf numFmtId="166" fontId="0" fillId="12" borderId="2" xfId="1" applyNumberFormat="1" applyFont="1" applyFill="1" applyBorder="1"/>
    <xf numFmtId="166" fontId="0" fillId="12" borderId="0" xfId="1" applyNumberFormat="1" applyFont="1" applyFill="1"/>
    <xf numFmtId="166" fontId="20" fillId="0" borderId="2" xfId="1" applyNumberFormat="1" applyFont="1" applyFill="1" applyBorder="1" applyAlignment="1">
      <alignment horizontal="center" wrapText="1"/>
    </xf>
    <xf numFmtId="166" fontId="0" fillId="2" borderId="0" xfId="1" applyNumberFormat="1" applyFont="1" applyFill="1" applyBorder="1"/>
    <xf numFmtId="166" fontId="4" fillId="2" borderId="1" xfId="1" applyNumberFormat="1" applyFont="1" applyFill="1" applyBorder="1"/>
    <xf numFmtId="166" fontId="2" fillId="3" borderId="1" xfId="1" applyNumberFormat="1" applyFont="1" applyFill="1" applyBorder="1"/>
    <xf numFmtId="166" fontId="0" fillId="0" borderId="0" xfId="1" applyNumberFormat="1" applyFont="1" applyAlignment="1">
      <alignment horizontal="center"/>
    </xf>
    <xf numFmtId="166" fontId="20" fillId="11" borderId="1" xfId="1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66" fontId="45" fillId="0" borderId="1" xfId="1" applyNumberFormat="1" applyFont="1" applyFill="1" applyBorder="1" applyAlignment="1">
      <alignment horizontal="center"/>
    </xf>
    <xf numFmtId="166" fontId="42" fillId="0" borderId="1" xfId="1" applyNumberFormat="1" applyFont="1" applyFill="1" applyBorder="1" applyAlignment="1">
      <alignment wrapText="1"/>
    </xf>
    <xf numFmtId="3" fontId="0" fillId="11" borderId="1" xfId="1" applyNumberFormat="1" applyFont="1" applyFill="1" applyBorder="1"/>
    <xf numFmtId="9" fontId="0" fillId="3" borderId="1" xfId="14" applyFont="1" applyFill="1" applyBorder="1"/>
    <xf numFmtId="166" fontId="40" fillId="0" borderId="1" xfId="1" applyNumberFormat="1" applyFont="1" applyFill="1" applyBorder="1" applyAlignment="1">
      <alignment vertical="center" wrapText="1"/>
    </xf>
    <xf numFmtId="0" fontId="10" fillId="0" borderId="1" xfId="6" applyBorder="1" applyAlignment="1">
      <alignment horizontal="left" vertical="center" wrapText="1"/>
    </xf>
    <xf numFmtId="166" fontId="11" fillId="0" borderId="1" xfId="1" applyNumberFormat="1" applyFont="1" applyFill="1" applyBorder="1" applyAlignment="1">
      <alignment horizontal="left" vertical="center"/>
    </xf>
    <xf numFmtId="166" fontId="11" fillId="0" borderId="0" xfId="1" applyNumberFormat="1" applyFont="1" applyFill="1" applyBorder="1" applyAlignment="1">
      <alignment horizontal="left" vertical="center"/>
    </xf>
    <xf numFmtId="0" fontId="40" fillId="0" borderId="1" xfId="0" applyFont="1" applyBorder="1" applyAlignment="1">
      <alignment wrapText="1"/>
    </xf>
    <xf numFmtId="166" fontId="26" fillId="0" borderId="1" xfId="1" applyNumberFormat="1" applyFont="1" applyFill="1" applyBorder="1" applyAlignment="1">
      <alignment vertical="center" wrapText="1"/>
    </xf>
    <xf numFmtId="166" fontId="47" fillId="0" borderId="1" xfId="4" applyNumberFormat="1" applyFont="1" applyFill="1" applyBorder="1" applyAlignment="1">
      <alignment horizontal="left" vertical="center"/>
    </xf>
    <xf numFmtId="166" fontId="47" fillId="0" borderId="1" xfId="4" applyNumberFormat="1" applyFont="1" applyFill="1" applyBorder="1" applyAlignment="1">
      <alignment horizontal="center" vertical="center"/>
    </xf>
    <xf numFmtId="166" fontId="47" fillId="0" borderId="1" xfId="4" applyNumberFormat="1" applyFont="1" applyFill="1" applyBorder="1"/>
    <xf numFmtId="166" fontId="47" fillId="0" borderId="1" xfId="1" applyNumberFormat="1" applyFont="1" applyFill="1" applyBorder="1"/>
    <xf numFmtId="166" fontId="47" fillId="0" borderId="1" xfId="4" applyNumberFormat="1" applyFont="1" applyFill="1" applyBorder="1" applyAlignment="1">
      <alignment horizontal="left" vertical="center" wrapText="1"/>
    </xf>
    <xf numFmtId="166" fontId="47" fillId="0" borderId="0" xfId="4" applyNumberFormat="1" applyFont="1" applyFill="1" applyBorder="1" applyAlignment="1">
      <alignment horizontal="left" vertical="center"/>
    </xf>
    <xf numFmtId="166" fontId="47" fillId="0" borderId="0" xfId="4" applyNumberFormat="1" applyFont="1" applyFill="1" applyBorder="1" applyAlignment="1">
      <alignment horizontal="center" vertical="center"/>
    </xf>
    <xf numFmtId="166" fontId="47" fillId="0" borderId="0" xfId="4" applyNumberFormat="1" applyFont="1" applyFill="1" applyBorder="1"/>
    <xf numFmtId="166" fontId="0" fillId="10" borderId="1" xfId="1" applyNumberFormat="1" applyFont="1" applyFill="1" applyBorder="1"/>
    <xf numFmtId="0" fontId="18" fillId="16" borderId="0" xfId="2" applyFont="1" applyFill="1" applyAlignment="1">
      <alignment horizontal="left"/>
    </xf>
    <xf numFmtId="166" fontId="0" fillId="16" borderId="0" xfId="1" applyNumberFormat="1" applyFont="1" applyFill="1"/>
    <xf numFmtId="0" fontId="0" fillId="16" borderId="0" xfId="0" applyFill="1"/>
    <xf numFmtId="165" fontId="0" fillId="16" borderId="0" xfId="1" applyFont="1" applyFill="1"/>
    <xf numFmtId="166" fontId="16" fillId="9" borderId="1" xfId="1" applyNumberFormat="1" applyFont="1" applyFill="1" applyBorder="1" applyAlignment="1">
      <alignment horizontal="center" vertical="center" wrapText="1"/>
    </xf>
    <xf numFmtId="166" fontId="16" fillId="2" borderId="1" xfId="1" applyNumberFormat="1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left"/>
    </xf>
    <xf numFmtId="166" fontId="4" fillId="2" borderId="1" xfId="9" applyNumberFormat="1" applyFont="1" applyFill="1" applyBorder="1" applyAlignment="1">
      <alignment horizontal="left"/>
    </xf>
    <xf numFmtId="166" fontId="4" fillId="2" borderId="1" xfId="9" applyNumberFormat="1" applyFont="1" applyFill="1" applyBorder="1" applyAlignment="1">
      <alignment horizontal="center"/>
    </xf>
    <xf numFmtId="166" fontId="4" fillId="2" borderId="1" xfId="1" applyNumberFormat="1" applyFont="1" applyFill="1" applyBorder="1" applyAlignment="1">
      <alignment horizontal="left"/>
    </xf>
    <xf numFmtId="0" fontId="4" fillId="2" borderId="1" xfId="3" applyFont="1" applyFill="1" applyBorder="1" applyAlignment="1">
      <alignment horizontal="left"/>
    </xf>
    <xf numFmtId="166" fontId="4" fillId="9" borderId="1" xfId="1" applyNumberFormat="1" applyFont="1" applyFill="1" applyBorder="1" applyAlignment="1">
      <alignment horizontal="left"/>
    </xf>
    <xf numFmtId="166" fontId="3" fillId="0" borderId="1" xfId="9" applyNumberFormat="1" applyFont="1" applyFill="1" applyBorder="1"/>
    <xf numFmtId="0" fontId="3" fillId="0" borderId="1" xfId="8" applyBorder="1" applyAlignment="1">
      <alignment horizontal="center"/>
    </xf>
    <xf numFmtId="166" fontId="3" fillId="2" borderId="1" xfId="9" applyNumberFormat="1" applyFont="1" applyFill="1" applyBorder="1"/>
    <xf numFmtId="166" fontId="4" fillId="0" borderId="1" xfId="9" applyNumberFormat="1" applyFont="1" applyFill="1" applyBorder="1"/>
    <xf numFmtId="166" fontId="4" fillId="2" borderId="1" xfId="9" applyNumberFormat="1" applyFont="1" applyFill="1" applyBorder="1"/>
    <xf numFmtId="0" fontId="28" fillId="2" borderId="1" xfId="0" applyFont="1" applyFill="1" applyBorder="1"/>
    <xf numFmtId="0" fontId="38" fillId="2" borderId="1" xfId="0" applyFont="1" applyFill="1" applyBorder="1"/>
    <xf numFmtId="166" fontId="4" fillId="2" borderId="1" xfId="10" applyNumberFormat="1" applyFont="1" applyFill="1" applyBorder="1"/>
    <xf numFmtId="166" fontId="4" fillId="2" borderId="1" xfId="10" applyNumberFormat="1" applyFont="1" applyFill="1" applyBorder="1" applyAlignment="1">
      <alignment horizontal="center"/>
    </xf>
    <xf numFmtId="166" fontId="4" fillId="9" borderId="1" xfId="10" applyNumberFormat="1" applyFont="1" applyFill="1" applyBorder="1"/>
    <xf numFmtId="0" fontId="3" fillId="0" borderId="1" xfId="2" applyBorder="1"/>
    <xf numFmtId="0" fontId="4" fillId="2" borderId="1" xfId="2" applyFont="1" applyFill="1" applyBorder="1"/>
    <xf numFmtId="0" fontId="4" fillId="2" borderId="1" xfId="3" applyFont="1" applyFill="1" applyBorder="1" applyAlignment="1">
      <alignment horizontal="center"/>
    </xf>
    <xf numFmtId="166" fontId="4" fillId="16" borderId="2" xfId="1" applyNumberFormat="1" applyFont="1" applyFill="1" applyBorder="1"/>
    <xf numFmtId="166" fontId="42" fillId="11" borderId="1" xfId="1" applyNumberFormat="1" applyFont="1" applyFill="1" applyBorder="1" applyAlignment="1">
      <alignment horizontal="center"/>
    </xf>
    <xf numFmtId="166" fontId="0" fillId="16" borderId="0" xfId="1" applyNumberFormat="1" applyFont="1" applyFill="1" applyBorder="1"/>
    <xf numFmtId="166" fontId="18" fillId="0" borderId="0" xfId="1" applyNumberFormat="1" applyFont="1" applyBorder="1"/>
    <xf numFmtId="166" fontId="18" fillId="2" borderId="0" xfId="1" applyNumberFormat="1" applyFont="1" applyFill="1" applyBorder="1"/>
    <xf numFmtId="166" fontId="18" fillId="16" borderId="0" xfId="1" applyNumberFormat="1" applyFont="1" applyFill="1" applyBorder="1"/>
    <xf numFmtId="166" fontId="46" fillId="16" borderId="0" xfId="1" applyNumberFormat="1" applyFont="1" applyFill="1" applyBorder="1" applyAlignment="1">
      <alignment vertical="center"/>
    </xf>
    <xf numFmtId="166" fontId="4" fillId="16" borderId="0" xfId="1" applyNumberFormat="1" applyFont="1" applyFill="1"/>
    <xf numFmtId="166" fontId="0" fillId="17" borderId="1" xfId="1" applyNumberFormat="1" applyFont="1" applyFill="1" applyBorder="1"/>
    <xf numFmtId="166" fontId="0" fillId="18" borderId="1" xfId="1" applyNumberFormat="1" applyFont="1" applyFill="1" applyBorder="1"/>
    <xf numFmtId="166" fontId="0" fillId="15" borderId="1" xfId="1" applyNumberFormat="1" applyFont="1" applyFill="1" applyBorder="1"/>
    <xf numFmtId="166" fontId="2" fillId="0" borderId="2" xfId="1" applyNumberFormat="1" applyFont="1" applyFill="1" applyBorder="1"/>
    <xf numFmtId="166" fontId="2" fillId="15" borderId="2" xfId="1" applyNumberFormat="1" applyFont="1" applyFill="1" applyBorder="1"/>
    <xf numFmtId="166" fontId="4" fillId="0" borderId="1" xfId="1" applyNumberFormat="1" applyFont="1" applyFill="1" applyBorder="1" applyAlignment="1">
      <alignment horizontal="center" wrapText="1"/>
    </xf>
    <xf numFmtId="166" fontId="50" fillId="0" borderId="0" xfId="1" applyNumberFormat="1" applyFont="1" applyFill="1"/>
    <xf numFmtId="166" fontId="0" fillId="3" borderId="0" xfId="0" applyNumberFormat="1" applyFill="1"/>
    <xf numFmtId="166" fontId="0" fillId="10" borderId="2" xfId="1" applyNumberFormat="1" applyFont="1" applyFill="1" applyBorder="1"/>
    <xf numFmtId="166" fontId="0" fillId="10" borderId="1" xfId="1" applyNumberFormat="1" applyFont="1" applyFill="1" applyBorder="1" applyAlignment="1">
      <alignment horizontal="center"/>
    </xf>
    <xf numFmtId="166" fontId="0" fillId="19" borderId="1" xfId="1" applyNumberFormat="1" applyFont="1" applyFill="1" applyBorder="1"/>
    <xf numFmtId="166" fontId="2" fillId="12" borderId="0" xfId="1" applyNumberFormat="1" applyFont="1" applyFill="1" applyBorder="1" applyAlignment="1">
      <alignment horizontal="left"/>
    </xf>
    <xf numFmtId="166" fontId="3" fillId="14" borderId="0" xfId="1" applyNumberFormat="1" applyFont="1" applyFill="1" applyBorder="1"/>
    <xf numFmtId="166" fontId="3" fillId="12" borderId="0" xfId="1" applyNumberFormat="1" applyFont="1" applyFill="1" applyBorder="1"/>
    <xf numFmtId="166" fontId="3" fillId="0" borderId="3" xfId="1" applyNumberFormat="1" applyFont="1" applyFill="1" applyBorder="1" applyAlignment="1">
      <alignment horizontal="center"/>
    </xf>
    <xf numFmtId="166" fontId="3" fillId="12" borderId="3" xfId="1" applyNumberFormat="1" applyFont="1" applyFill="1" applyBorder="1"/>
    <xf numFmtId="166" fontId="3" fillId="0" borderId="5" xfId="1" applyNumberFormat="1" applyFont="1" applyFill="1" applyBorder="1" applyAlignment="1">
      <alignment horizontal="center"/>
    </xf>
    <xf numFmtId="166" fontId="42" fillId="11" borderId="1" xfId="1" applyNumberFormat="1" applyFont="1" applyFill="1" applyBorder="1" applyAlignment="1">
      <alignment horizontal="center" wrapText="1"/>
    </xf>
    <xf numFmtId="166" fontId="18" fillId="0" borderId="0" xfId="1" applyNumberFormat="1" applyFont="1" applyFill="1" applyBorder="1"/>
    <xf numFmtId="0" fontId="41" fillId="0" borderId="1" xfId="0" applyFont="1" applyBorder="1"/>
    <xf numFmtId="166" fontId="3" fillId="10" borderId="1" xfId="1" applyNumberFormat="1" applyFont="1" applyFill="1" applyBorder="1"/>
    <xf numFmtId="166" fontId="3" fillId="10" borderId="1" xfId="1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51" fillId="0" borderId="1" xfId="0" applyFont="1" applyBorder="1" applyAlignment="1">
      <alignment horizontal="center" wrapText="1"/>
    </xf>
    <xf numFmtId="3" fontId="0" fillId="0" borderId="1" xfId="0" applyNumberFormat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2" xfId="0" applyNumberForma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166" fontId="20" fillId="0" borderId="1" xfId="1" applyNumberFormat="1" applyFont="1" applyBorder="1" applyAlignment="1">
      <alignment horizontal="center" wrapText="1"/>
    </xf>
    <xf numFmtId="0" fontId="0" fillId="20" borderId="1" xfId="0" applyFill="1" applyBorder="1"/>
    <xf numFmtId="166" fontId="0" fillId="20" borderId="1" xfId="1" applyNumberFormat="1" applyFont="1" applyFill="1" applyBorder="1"/>
    <xf numFmtId="166" fontId="18" fillId="20" borderId="1" xfId="1" applyNumberFormat="1" applyFont="1" applyFill="1" applyBorder="1"/>
    <xf numFmtId="166" fontId="0" fillId="20" borderId="0" xfId="1" applyNumberFormat="1" applyFont="1" applyFill="1"/>
    <xf numFmtId="0" fontId="0" fillId="20" borderId="0" xfId="0" applyFill="1"/>
    <xf numFmtId="165" fontId="0" fillId="20" borderId="1" xfId="1" applyFont="1" applyFill="1" applyBorder="1"/>
    <xf numFmtId="9" fontId="0" fillId="20" borderId="0" xfId="14" applyFont="1" applyFill="1"/>
    <xf numFmtId="166" fontId="0" fillId="20" borderId="1" xfId="0" applyNumberFormat="1" applyFill="1" applyBorder="1"/>
    <xf numFmtId="166" fontId="0" fillId="20" borderId="2" xfId="1" applyNumberFormat="1" applyFont="1" applyFill="1" applyBorder="1"/>
    <xf numFmtId="3" fontId="0" fillId="20" borderId="2" xfId="0" applyNumberFormat="1" applyFill="1" applyBorder="1" applyAlignment="1">
      <alignment horizontal="center"/>
    </xf>
    <xf numFmtId="166" fontId="18" fillId="0" borderId="3" xfId="1" applyNumberFormat="1" applyFont="1" applyBorder="1"/>
    <xf numFmtId="165" fontId="0" fillId="0" borderId="3" xfId="1" applyFont="1" applyBorder="1"/>
    <xf numFmtId="165" fontId="0" fillId="3" borderId="3" xfId="1" applyFont="1" applyFill="1" applyBorder="1"/>
    <xf numFmtId="166" fontId="0" fillId="3" borderId="10" xfId="1" applyNumberFormat="1" applyFont="1" applyFill="1" applyBorder="1"/>
    <xf numFmtId="166" fontId="0" fillId="12" borderId="10" xfId="1" applyNumberFormat="1" applyFont="1" applyFill="1" applyBorder="1"/>
    <xf numFmtId="0" fontId="18" fillId="0" borderId="1" xfId="2" applyFont="1" applyBorder="1" applyAlignment="1">
      <alignment horizontal="left"/>
    </xf>
    <xf numFmtId="0" fontId="18" fillId="16" borderId="1" xfId="2" applyFont="1" applyFill="1" applyBorder="1" applyAlignment="1">
      <alignment horizontal="left"/>
    </xf>
    <xf numFmtId="166" fontId="0" fillId="16" borderId="1" xfId="1" applyNumberFormat="1" applyFont="1" applyFill="1" applyBorder="1"/>
    <xf numFmtId="166" fontId="18" fillId="16" borderId="1" xfId="1" applyNumberFormat="1" applyFont="1" applyFill="1" applyBorder="1"/>
    <xf numFmtId="165" fontId="0" fillId="16" borderId="1" xfId="1" applyFont="1" applyFill="1" applyBorder="1"/>
    <xf numFmtId="166" fontId="45" fillId="0" borderId="1" xfId="1" applyNumberFormat="1" applyFont="1" applyFill="1" applyBorder="1" applyAlignment="1">
      <alignment horizontal="center" wrapText="1"/>
    </xf>
    <xf numFmtId="166" fontId="0" fillId="0" borderId="5" xfId="1" applyNumberFormat="1" applyFont="1" applyFill="1" applyBorder="1"/>
    <xf numFmtId="3" fontId="42" fillId="0" borderId="2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6" fontId="0" fillId="21" borderId="1" xfId="1" applyNumberFormat="1" applyFont="1" applyFill="1" applyBorder="1"/>
    <xf numFmtId="166" fontId="0" fillId="21" borderId="0" xfId="1" applyNumberFormat="1" applyFont="1" applyFill="1"/>
    <xf numFmtId="166" fontId="0" fillId="21" borderId="1" xfId="0" applyNumberFormat="1" applyFill="1" applyBorder="1"/>
    <xf numFmtId="165" fontId="0" fillId="21" borderId="1" xfId="1" applyFont="1" applyFill="1" applyBorder="1"/>
    <xf numFmtId="0" fontId="0" fillId="21" borderId="0" xfId="0" applyFill="1"/>
    <xf numFmtId="9" fontId="0" fillId="21" borderId="1" xfId="14" applyFont="1" applyFill="1" applyBorder="1"/>
    <xf numFmtId="166" fontId="0" fillId="21" borderId="2" xfId="1" applyNumberFormat="1" applyFont="1" applyFill="1" applyBorder="1"/>
    <xf numFmtId="166" fontId="0" fillId="21" borderId="2" xfId="0" applyNumberFormat="1" applyFill="1" applyBorder="1"/>
    <xf numFmtId="3" fontId="0" fillId="21" borderId="1" xfId="0" applyNumberFormat="1" applyFill="1" applyBorder="1" applyAlignment="1">
      <alignment horizontal="center"/>
    </xf>
    <xf numFmtId="3" fontId="0" fillId="21" borderId="2" xfId="0" applyNumberFormat="1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166" fontId="0" fillId="21" borderId="3" xfId="1" applyNumberFormat="1" applyFont="1" applyFill="1" applyBorder="1"/>
    <xf numFmtId="166" fontId="0" fillId="21" borderId="3" xfId="0" applyNumberFormat="1" applyFill="1" applyBorder="1"/>
    <xf numFmtId="165" fontId="0" fillId="21" borderId="3" xfId="1" applyFont="1" applyFill="1" applyBorder="1"/>
    <xf numFmtId="166" fontId="0" fillId="21" borderId="10" xfId="1" applyNumberFormat="1" applyFont="1" applyFill="1" applyBorder="1"/>
    <xf numFmtId="0" fontId="0" fillId="21" borderId="2" xfId="0" applyFill="1" applyBorder="1"/>
    <xf numFmtId="165" fontId="0" fillId="21" borderId="0" xfId="1" applyFont="1" applyFill="1"/>
    <xf numFmtId="165" fontId="0" fillId="21" borderId="0" xfId="1" applyFont="1" applyFill="1" applyBorder="1"/>
    <xf numFmtId="166" fontId="0" fillId="21" borderId="0" xfId="1" applyNumberFormat="1" applyFont="1" applyFill="1" applyBorder="1"/>
    <xf numFmtId="166" fontId="20" fillId="0" borderId="1" xfId="1" applyNumberFormat="1" applyFont="1" applyFill="1" applyBorder="1" applyAlignment="1">
      <alignment horizontal="center" wrapText="1"/>
    </xf>
    <xf numFmtId="166" fontId="0" fillId="0" borderId="11" xfId="1" applyNumberFormat="1" applyFont="1" applyFill="1" applyBorder="1"/>
    <xf numFmtId="164" fontId="20" fillId="0" borderId="2" xfId="0" applyNumberFormat="1" applyFont="1" applyBorder="1" applyAlignment="1">
      <alignment horizontal="center" wrapText="1"/>
    </xf>
    <xf numFmtId="164" fontId="20" fillId="0" borderId="1" xfId="0" applyNumberFormat="1" applyFont="1" applyBorder="1" applyAlignment="1">
      <alignment horizontal="center" wrapText="1"/>
    </xf>
    <xf numFmtId="166" fontId="18" fillId="0" borderId="2" xfId="1" applyNumberFormat="1" applyFont="1" applyFill="1" applyBorder="1"/>
    <xf numFmtId="164" fontId="20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166" fontId="21" fillId="0" borderId="1" xfId="1" applyNumberFormat="1" applyFont="1" applyFill="1" applyBorder="1"/>
    <xf numFmtId="166" fontId="22" fillId="0" borderId="1" xfId="1" applyNumberFormat="1" applyFont="1" applyFill="1" applyBorder="1"/>
    <xf numFmtId="0" fontId="21" fillId="0" borderId="5" xfId="7" applyFont="1" applyBorder="1"/>
    <xf numFmtId="0" fontId="0" fillId="0" borderId="6" xfId="0" applyBorder="1"/>
    <xf numFmtId="166" fontId="0" fillId="0" borderId="9" xfId="1" applyNumberFormat="1" applyFont="1" applyFill="1" applyBorder="1"/>
    <xf numFmtId="166" fontId="20" fillId="0" borderId="1" xfId="1" applyNumberFormat="1" applyFont="1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166" fontId="0" fillId="9" borderId="0" xfId="1" applyNumberFormat="1" applyFont="1" applyFill="1" applyBorder="1"/>
    <xf numFmtId="0" fontId="0" fillId="20" borderId="2" xfId="0" applyFill="1" applyBorder="1"/>
    <xf numFmtId="166" fontId="43" fillId="14" borderId="1" xfId="1" applyNumberFormat="1" applyFont="1" applyFill="1" applyBorder="1" applyAlignment="1">
      <alignment horizontal="center" wrapText="1"/>
    </xf>
    <xf numFmtId="166" fontId="2" fillId="0" borderId="1" xfId="1" applyNumberFormat="1" applyFont="1" applyFill="1" applyBorder="1" applyAlignment="1"/>
    <xf numFmtId="166" fontId="1" fillId="0" borderId="1" xfId="1" applyNumberFormat="1" applyBorder="1" applyAlignment="1"/>
    <xf numFmtId="164" fontId="0" fillId="3" borderId="2" xfId="0" applyNumberFormat="1" applyFill="1" applyBorder="1"/>
    <xf numFmtId="166" fontId="0" fillId="0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166" fontId="0" fillId="3" borderId="2" xfId="1" applyNumberFormat="1" applyFont="1" applyFill="1" applyBorder="1" applyAlignment="1">
      <alignment horizontal="center"/>
    </xf>
    <xf numFmtId="166" fontId="20" fillId="21" borderId="1" xfId="1" applyNumberFormat="1" applyFont="1" applyFill="1" applyBorder="1" applyAlignment="1">
      <alignment horizontal="center" wrapText="1"/>
    </xf>
    <xf numFmtId="0" fontId="20" fillId="21" borderId="2" xfId="0" applyFont="1" applyFill="1" applyBorder="1" applyAlignment="1">
      <alignment horizontal="center" wrapText="1"/>
    </xf>
    <xf numFmtId="166" fontId="53" fillId="21" borderId="1" xfId="1" applyNumberFormat="1" applyFont="1" applyFill="1" applyBorder="1" applyAlignment="1">
      <alignment horizontal="center" vertical="center"/>
    </xf>
    <xf numFmtId="166" fontId="0" fillId="0" borderId="2" xfId="1" applyNumberFormat="1" applyFont="1" applyFill="1" applyBorder="1" applyAlignment="1">
      <alignment horizontal="center"/>
    </xf>
    <xf numFmtId="166" fontId="20" fillId="21" borderId="2" xfId="1" applyNumberFormat="1" applyFont="1" applyFill="1" applyBorder="1" applyAlignment="1">
      <alignment horizontal="center" wrapText="1"/>
    </xf>
    <xf numFmtId="166" fontId="30" fillId="3" borderId="1" xfId="1" applyNumberFormat="1" applyFont="1" applyFill="1" applyBorder="1"/>
    <xf numFmtId="164" fontId="30" fillId="0" borderId="1" xfId="0" applyNumberFormat="1" applyFont="1" applyBorder="1"/>
    <xf numFmtId="0" fontId="2" fillId="0" borderId="1" xfId="8" applyFont="1" applyBorder="1"/>
    <xf numFmtId="166" fontId="3" fillId="0" borderId="1" xfId="1" applyNumberFormat="1" applyFont="1" applyFill="1" applyBorder="1" applyAlignment="1"/>
    <xf numFmtId="166" fontId="4" fillId="0" borderId="1" xfId="1" applyNumberFormat="1" applyFont="1" applyFill="1" applyBorder="1" applyAlignment="1"/>
    <xf numFmtId="0" fontId="5" fillId="9" borderId="1" xfId="3" applyFont="1" applyFill="1" applyBorder="1" applyAlignment="1">
      <alignment wrapText="1"/>
    </xf>
    <xf numFmtId="0" fontId="5" fillId="20" borderId="1" xfId="3" applyFont="1" applyFill="1" applyBorder="1" applyAlignment="1">
      <alignment wrapText="1"/>
    </xf>
    <xf numFmtId="0" fontId="2" fillId="22" borderId="1" xfId="3" applyFill="1" applyBorder="1"/>
    <xf numFmtId="0" fontId="57" fillId="0" borderId="0" xfId="0" applyFont="1" applyAlignment="1">
      <alignment wrapText="1"/>
    </xf>
    <xf numFmtId="166" fontId="58" fillId="0" borderId="1" xfId="1" applyNumberFormat="1" applyFont="1" applyFill="1" applyBorder="1" applyAlignment="1">
      <alignment horizontal="center" vertical="center" wrapText="1"/>
    </xf>
    <xf numFmtId="0" fontId="52" fillId="0" borderId="1" xfId="7" applyFont="1" applyBorder="1" applyAlignment="1">
      <alignment horizontal="center" vertical="center" wrapText="1"/>
    </xf>
    <xf numFmtId="166" fontId="0" fillId="3" borderId="1" xfId="1" applyNumberFormat="1" applyFont="1" applyFill="1" applyBorder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0" fillId="0" borderId="2" xfId="0" applyBorder="1" applyAlignment="1">
      <alignment horizontal="right"/>
    </xf>
    <xf numFmtId="166" fontId="0" fillId="0" borderId="1" xfId="1" applyNumberFormat="1" applyFont="1" applyBorder="1" applyAlignment="1"/>
    <xf numFmtId="166" fontId="0" fillId="3" borderId="1" xfId="1" applyNumberFormat="1" applyFont="1" applyFill="1" applyBorder="1" applyAlignment="1"/>
    <xf numFmtId="166" fontId="0" fillId="0" borderId="1" xfId="1" applyNumberFormat="1" applyFont="1" applyFill="1" applyBorder="1" applyAlignment="1"/>
    <xf numFmtId="0" fontId="18" fillId="16" borderId="1" xfId="2" applyFont="1" applyFill="1" applyBorder="1"/>
    <xf numFmtId="166" fontId="0" fillId="0" borderId="0" xfId="1" applyNumberFormat="1" applyFont="1" applyBorder="1" applyAlignment="1"/>
    <xf numFmtId="166" fontId="0" fillId="0" borderId="0" xfId="1" applyNumberFormat="1" applyFont="1" applyAlignment="1"/>
    <xf numFmtId="166" fontId="0" fillId="0" borderId="3" xfId="1" applyNumberFormat="1" applyFont="1" applyFill="1" applyBorder="1" applyAlignment="1"/>
    <xf numFmtId="0" fontId="18" fillId="0" borderId="1" xfId="2" applyFont="1" applyBorder="1"/>
    <xf numFmtId="166" fontId="18" fillId="0" borderId="1" xfId="1" applyNumberFormat="1" applyFont="1" applyBorder="1" applyAlignment="1"/>
    <xf numFmtId="0" fontId="18" fillId="16" borderId="0" xfId="2" applyFont="1" applyFill="1"/>
    <xf numFmtId="166" fontId="0" fillId="16" borderId="1" xfId="1" applyNumberFormat="1" applyFont="1" applyFill="1" applyBorder="1" applyAlignment="1">
      <alignment horizontal="center"/>
    </xf>
    <xf numFmtId="166" fontId="0" fillId="0" borderId="3" xfId="1" applyNumberFormat="1" applyFont="1" applyFill="1" applyBorder="1" applyAlignment="1">
      <alignment horizontal="center"/>
    </xf>
    <xf numFmtId="166" fontId="0" fillId="20" borderId="0" xfId="1" applyNumberFormat="1" applyFont="1" applyFill="1" applyBorder="1"/>
    <xf numFmtId="166" fontId="0" fillId="0" borderId="0" xfId="1" applyNumberFormat="1" applyFont="1" applyFill="1" applyBorder="1" applyAlignment="1">
      <alignment horizontal="center"/>
    </xf>
    <xf numFmtId="166" fontId="4" fillId="0" borderId="0" xfId="3" applyNumberFormat="1" applyFont="1"/>
    <xf numFmtId="166" fontId="20" fillId="21" borderId="4" xfId="1" applyNumberFormat="1" applyFont="1" applyFill="1" applyBorder="1" applyAlignment="1">
      <alignment horizontal="center" wrapText="1"/>
    </xf>
    <xf numFmtId="166" fontId="3" fillId="25" borderId="1" xfId="1" applyNumberFormat="1" applyFont="1" applyFill="1" applyBorder="1"/>
    <xf numFmtId="166" fontId="2" fillId="26" borderId="1" xfId="1" applyNumberFormat="1" applyFont="1" applyFill="1" applyBorder="1"/>
    <xf numFmtId="166" fontId="30" fillId="3" borderId="1" xfId="1" applyNumberFormat="1" applyFont="1" applyFill="1" applyBorder="1" applyAlignment="1"/>
    <xf numFmtId="166" fontId="30" fillId="3" borderId="1" xfId="1" applyNumberFormat="1" applyFont="1" applyFill="1" applyBorder="1" applyAlignment="1">
      <alignment horizontal="center"/>
    </xf>
    <xf numFmtId="166" fontId="53" fillId="21" borderId="2" xfId="1" applyNumberFormat="1" applyFont="1" applyFill="1" applyBorder="1" applyAlignment="1">
      <alignment horizontal="center" vertical="center"/>
    </xf>
    <xf numFmtId="166" fontId="2" fillId="0" borderId="1" xfId="3" applyNumberFormat="1" applyBorder="1" applyAlignment="1">
      <alignment horizontal="left"/>
    </xf>
    <xf numFmtId="166" fontId="2" fillId="25" borderId="1" xfId="3" applyNumberFormat="1" applyFill="1" applyBorder="1" applyAlignment="1">
      <alignment horizontal="left"/>
    </xf>
    <xf numFmtId="166" fontId="2" fillId="26" borderId="1" xfId="3" applyNumberFormat="1" applyFill="1" applyBorder="1" applyAlignment="1">
      <alignment horizontal="left"/>
    </xf>
    <xf numFmtId="166" fontId="2" fillId="2" borderId="1" xfId="3" applyNumberFormat="1" applyFill="1" applyBorder="1" applyAlignment="1">
      <alignment horizontal="left"/>
    </xf>
    <xf numFmtId="166" fontId="4" fillId="14" borderId="1" xfId="1" applyNumberFormat="1" applyFont="1" applyFill="1" applyBorder="1" applyAlignment="1">
      <alignment horizontal="center"/>
    </xf>
    <xf numFmtId="166" fontId="2" fillId="15" borderId="2" xfId="1" applyNumberFormat="1" applyFont="1" applyFill="1" applyBorder="1" applyAlignment="1">
      <alignment horizontal="center"/>
    </xf>
    <xf numFmtId="166" fontId="30" fillId="24" borderId="2" xfId="1" applyNumberFormat="1" applyFont="1" applyFill="1" applyBorder="1" applyAlignment="1">
      <alignment horizontal="center"/>
    </xf>
    <xf numFmtId="166" fontId="18" fillId="0" borderId="2" xfId="1" applyNumberFormat="1" applyFont="1" applyFill="1" applyBorder="1" applyAlignment="1">
      <alignment horizontal="center"/>
    </xf>
    <xf numFmtId="166" fontId="0" fillId="16" borderId="2" xfId="1" applyNumberFormat="1" applyFont="1" applyFill="1" applyBorder="1" applyAlignment="1">
      <alignment horizontal="center"/>
    </xf>
    <xf numFmtId="166" fontId="0" fillId="27" borderId="1" xfId="0" applyNumberFormat="1" applyFill="1" applyBorder="1"/>
    <xf numFmtId="166" fontId="0" fillId="27" borderId="2" xfId="1" applyNumberFormat="1" applyFont="1" applyFill="1" applyBorder="1"/>
    <xf numFmtId="0" fontId="5" fillId="3" borderId="1" xfId="3" applyFont="1" applyFill="1" applyBorder="1" applyAlignment="1">
      <alignment wrapText="1"/>
    </xf>
    <xf numFmtId="165" fontId="2" fillId="3" borderId="1" xfId="4" applyFill="1" applyBorder="1" applyAlignment="1">
      <alignment horizontal="center"/>
    </xf>
    <xf numFmtId="166" fontId="2" fillId="3" borderId="1" xfId="4" applyNumberFormat="1" applyFill="1" applyBorder="1"/>
    <xf numFmtId="166" fontId="2" fillId="3" borderId="1" xfId="3" applyNumberFormat="1" applyFill="1" applyBorder="1"/>
    <xf numFmtId="0" fontId="2" fillId="3" borderId="0" xfId="3" applyFill="1"/>
    <xf numFmtId="165" fontId="2" fillId="3" borderId="1" xfId="4" applyFill="1" applyBorder="1"/>
    <xf numFmtId="0" fontId="55" fillId="3" borderId="1" xfId="3" applyFont="1" applyFill="1" applyBorder="1" applyAlignment="1">
      <alignment wrapText="1"/>
    </xf>
    <xf numFmtId="166" fontId="2" fillId="3" borderId="1" xfId="4" applyNumberFormat="1" applyFont="1" applyFill="1" applyBorder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/>
    <xf numFmtId="165" fontId="7" fillId="3" borderId="1" xfId="4" applyFont="1" applyFill="1" applyBorder="1" applyAlignment="1">
      <alignment horizontal="center"/>
    </xf>
    <xf numFmtId="166" fontId="7" fillId="3" borderId="1" xfId="4" applyNumberFormat="1" applyFont="1" applyFill="1" applyBorder="1"/>
    <xf numFmtId="166" fontId="3" fillId="3" borderId="1" xfId="4" applyNumberFormat="1" applyFont="1" applyFill="1" applyBorder="1"/>
    <xf numFmtId="0" fontId="56" fillId="3" borderId="1" xfId="3" applyFont="1" applyFill="1" applyBorder="1" applyAlignment="1">
      <alignment wrapText="1"/>
    </xf>
    <xf numFmtId="0" fontId="5" fillId="21" borderId="1" xfId="3" applyFont="1" applyFill="1" applyBorder="1" applyAlignment="1">
      <alignment wrapText="1"/>
    </xf>
    <xf numFmtId="0" fontId="2" fillId="21" borderId="1" xfId="3" applyFill="1" applyBorder="1"/>
    <xf numFmtId="166" fontId="2" fillId="21" borderId="1" xfId="4" applyNumberFormat="1" applyFill="1" applyBorder="1"/>
    <xf numFmtId="166" fontId="2" fillId="21" borderId="1" xfId="3" applyNumberFormat="1" applyFill="1" applyBorder="1"/>
    <xf numFmtId="166" fontId="2" fillId="21" borderId="1" xfId="1" applyNumberFormat="1" applyFont="1" applyFill="1" applyBorder="1"/>
    <xf numFmtId="0" fontId="2" fillId="21" borderId="0" xfId="3" applyFill="1"/>
    <xf numFmtId="166" fontId="2" fillId="21" borderId="0" xfId="3" applyNumberFormat="1" applyFill="1"/>
    <xf numFmtId="166" fontId="1" fillId="0" borderId="1" xfId="1" applyNumberFormat="1" applyFont="1" applyFill="1" applyBorder="1" applyAlignment="1">
      <alignment vertical="center"/>
    </xf>
    <xf numFmtId="166" fontId="59" fillId="29" borderId="1" xfId="1" applyNumberFormat="1" applyFont="1" applyFill="1" applyBorder="1" applyAlignment="1">
      <alignment horizontal="center" vertical="center" wrapText="1"/>
    </xf>
    <xf numFmtId="166" fontId="0" fillId="29" borderId="1" xfId="1" applyNumberFormat="1" applyFont="1" applyFill="1" applyBorder="1"/>
    <xf numFmtId="166" fontId="0" fillId="29" borderId="5" xfId="1" applyNumberFormat="1" applyFont="1" applyFill="1" applyBorder="1"/>
    <xf numFmtId="0" fontId="0" fillId="29" borderId="0" xfId="0" applyFill="1"/>
    <xf numFmtId="166" fontId="60" fillId="29" borderId="1" xfId="1" applyNumberFormat="1" applyFont="1" applyFill="1" applyBorder="1" applyAlignment="1">
      <alignment horizontal="center" vertical="center" wrapText="1"/>
    </xf>
    <xf numFmtId="167" fontId="0" fillId="29" borderId="0" xfId="1" applyNumberFormat="1" applyFont="1" applyFill="1"/>
    <xf numFmtId="166" fontId="0" fillId="29" borderId="0" xfId="1" applyNumberFormat="1" applyFont="1" applyFill="1"/>
    <xf numFmtId="166" fontId="0" fillId="29" borderId="0" xfId="1" applyNumberFormat="1" applyFont="1" applyFill="1" applyBorder="1"/>
    <xf numFmtId="167" fontId="0" fillId="29" borderId="1" xfId="1" applyNumberFormat="1" applyFont="1" applyFill="1" applyBorder="1" applyAlignment="1">
      <alignment horizontal="center" vertical="center"/>
    </xf>
    <xf numFmtId="167" fontId="0" fillId="29" borderId="0" xfId="1" applyNumberFormat="1" applyFont="1" applyFill="1" applyAlignment="1">
      <alignment horizontal="center" vertical="center"/>
    </xf>
    <xf numFmtId="166" fontId="18" fillId="29" borderId="1" xfId="1" applyNumberFormat="1" applyFont="1" applyFill="1" applyBorder="1"/>
    <xf numFmtId="166" fontId="45" fillId="3" borderId="1" xfId="1" applyNumberFormat="1" applyFont="1" applyFill="1" applyBorder="1"/>
    <xf numFmtId="166" fontId="59" fillId="9" borderId="1" xfId="1" applyNumberFormat="1" applyFont="1" applyFill="1" applyBorder="1" applyAlignment="1">
      <alignment horizontal="center" vertical="center" wrapText="1"/>
    </xf>
    <xf numFmtId="167" fontId="0" fillId="9" borderId="1" xfId="1" applyNumberFormat="1" applyFont="1" applyFill="1" applyBorder="1"/>
    <xf numFmtId="166" fontId="59" fillId="21" borderId="4" xfId="1" applyNumberFormat="1" applyFont="1" applyFill="1" applyBorder="1" applyAlignment="1">
      <alignment horizontal="center" vertical="center" wrapText="1"/>
    </xf>
    <xf numFmtId="166" fontId="0" fillId="21" borderId="0" xfId="0" applyNumberFormat="1" applyFill="1"/>
    <xf numFmtId="166" fontId="59" fillId="20" borderId="4" xfId="1" applyNumberFormat="1" applyFont="1" applyFill="1" applyBorder="1" applyAlignment="1">
      <alignment horizontal="center" vertical="center" wrapText="1"/>
    </xf>
    <xf numFmtId="166" fontId="0" fillId="20" borderId="0" xfId="0" applyNumberFormat="1" applyFill="1"/>
    <xf numFmtId="166" fontId="4" fillId="14" borderId="2" xfId="1" applyNumberFormat="1" applyFont="1" applyFill="1" applyBorder="1" applyAlignment="1">
      <alignment horizontal="center" wrapText="1"/>
    </xf>
    <xf numFmtId="166" fontId="2" fillId="3" borderId="2" xfId="1" applyNumberFormat="1" applyFont="1" applyFill="1" applyBorder="1"/>
    <xf numFmtId="166" fontId="2" fillId="21" borderId="2" xfId="1" applyNumberFormat="1" applyFont="1" applyFill="1" applyBorder="1"/>
    <xf numFmtId="166" fontId="2" fillId="0" borderId="2" xfId="1" applyNumberFormat="1" applyFont="1" applyFill="1" applyBorder="1" applyAlignment="1">
      <alignment horizontal="center" vertical="center"/>
    </xf>
    <xf numFmtId="166" fontId="2" fillId="9" borderId="2" xfId="1" applyNumberFormat="1" applyFont="1" applyFill="1" applyBorder="1" applyAlignment="1">
      <alignment horizontal="center" vertical="center"/>
    </xf>
    <xf numFmtId="166" fontId="2" fillId="28" borderId="2" xfId="1" applyNumberFormat="1" applyFont="1" applyFill="1" applyBorder="1" applyAlignment="1">
      <alignment horizontal="center" vertical="center"/>
    </xf>
    <xf numFmtId="166" fontId="0" fillId="20" borderId="2" xfId="1" applyNumberFormat="1" applyFont="1" applyFill="1" applyBorder="1" applyAlignment="1">
      <alignment horizontal="center"/>
    </xf>
    <xf numFmtId="166" fontId="50" fillId="0" borderId="1" xfId="1" applyNumberFormat="1" applyFont="1" applyFill="1" applyBorder="1"/>
    <xf numFmtId="166" fontId="2" fillId="28" borderId="1" xfId="1" applyNumberFormat="1" applyFont="1" applyFill="1" applyBorder="1"/>
    <xf numFmtId="166" fontId="59" fillId="21" borderId="12" xfId="1" applyNumberFormat="1" applyFont="1" applyFill="1" applyBorder="1" applyAlignment="1">
      <alignment horizontal="center" vertical="center" wrapText="1"/>
    </xf>
    <xf numFmtId="166" fontId="59" fillId="0" borderId="1" xfId="1" applyNumberFormat="1" applyFont="1" applyFill="1" applyBorder="1" applyAlignment="1">
      <alignment horizontal="center" vertical="center" wrapText="1"/>
    </xf>
    <xf numFmtId="166" fontId="10" fillId="3" borderId="1" xfId="1" applyNumberFormat="1" applyFont="1" applyFill="1" applyBorder="1" applyAlignment="1">
      <alignment horizontal="center" vertical="center"/>
    </xf>
    <xf numFmtId="166" fontId="11" fillId="3" borderId="1" xfId="1" applyNumberFormat="1" applyFont="1" applyFill="1" applyBorder="1" applyAlignment="1">
      <alignment vertical="center"/>
    </xf>
    <xf numFmtId="166" fontId="0" fillId="3" borderId="1" xfId="1" applyNumberFormat="1" applyFont="1" applyFill="1" applyBorder="1" applyAlignment="1">
      <alignment horizontal="left"/>
    </xf>
    <xf numFmtId="0" fontId="46" fillId="3" borderId="1" xfId="6" applyFont="1" applyFill="1" applyBorder="1" applyAlignment="1">
      <alignment vertical="center"/>
    </xf>
    <xf numFmtId="166" fontId="10" fillId="3" borderId="1" xfId="1" applyNumberFormat="1" applyFont="1" applyFill="1" applyBorder="1" applyAlignment="1">
      <alignment vertical="center"/>
    </xf>
    <xf numFmtId="166" fontId="31" fillId="0" borderId="1" xfId="1" applyNumberFormat="1" applyFont="1" applyFill="1" applyBorder="1" applyAlignment="1">
      <alignment horizontal="left" vertical="center"/>
    </xf>
    <xf numFmtId="166" fontId="10" fillId="0" borderId="1" xfId="1" applyNumberFormat="1" applyFont="1" applyFill="1" applyBorder="1" applyAlignment="1">
      <alignment horizontal="left" vertical="center"/>
    </xf>
    <xf numFmtId="166" fontId="52" fillId="0" borderId="1" xfId="1" applyNumberFormat="1" applyFont="1" applyFill="1" applyBorder="1" applyAlignment="1">
      <alignment horizontal="center" vertical="center" wrapText="1"/>
    </xf>
    <xf numFmtId="166" fontId="49" fillId="0" borderId="1" xfId="1" applyNumberFormat="1" applyFont="1" applyFill="1" applyBorder="1"/>
    <xf numFmtId="166" fontId="59" fillId="20" borderId="1" xfId="1" applyNumberFormat="1" applyFont="1" applyFill="1" applyBorder="1" applyAlignment="1">
      <alignment horizontal="center" vertical="center" wrapText="1"/>
    </xf>
    <xf numFmtId="166" fontId="4" fillId="2" borderId="1" xfId="3" applyNumberFormat="1" applyFont="1" applyFill="1" applyBorder="1" applyAlignment="1">
      <alignment horizontal="left"/>
    </xf>
    <xf numFmtId="167" fontId="0" fillId="20" borderId="1" xfId="1" applyNumberFormat="1" applyFont="1" applyFill="1" applyBorder="1"/>
    <xf numFmtId="166" fontId="4" fillId="0" borderId="1" xfId="1" applyNumberFormat="1" applyFont="1" applyFill="1" applyBorder="1" applyAlignment="1">
      <alignment horizontal="center" vertical="center"/>
    </xf>
    <xf numFmtId="166" fontId="4" fillId="2" borderId="0" xfId="1" applyNumberFormat="1" applyFont="1" applyFill="1" applyBorder="1" applyAlignment="1">
      <alignment horizontal="center"/>
    </xf>
    <xf numFmtId="0" fontId="4" fillId="9" borderId="1" xfId="8" applyFont="1" applyFill="1" applyBorder="1" applyAlignment="1">
      <alignment horizontal="left"/>
    </xf>
    <xf numFmtId="166" fontId="4" fillId="0" borderId="1" xfId="1" applyNumberFormat="1" applyFont="1" applyFill="1" applyBorder="1" applyAlignment="1">
      <alignment horizontal="center"/>
    </xf>
    <xf numFmtId="0" fontId="3" fillId="9" borderId="1" xfId="3" applyFont="1" applyFill="1" applyBorder="1"/>
    <xf numFmtId="166" fontId="2" fillId="0" borderId="0" xfId="1" applyNumberFormat="1" applyFont="1" applyFill="1" applyAlignment="1">
      <alignment horizontal="left"/>
    </xf>
    <xf numFmtId="166" fontId="2" fillId="2" borderId="1" xfId="1" applyNumberFormat="1" applyFont="1" applyFill="1" applyBorder="1"/>
    <xf numFmtId="166" fontId="4" fillId="0" borderId="2" xfId="1" applyNumberFormat="1" applyFont="1" applyFill="1" applyBorder="1" applyAlignment="1">
      <alignment horizontal="center" wrapText="1"/>
    </xf>
    <xf numFmtId="166" fontId="2" fillId="2" borderId="2" xfId="1" applyNumberFormat="1" applyFont="1" applyFill="1" applyBorder="1"/>
    <xf numFmtId="166" fontId="2" fillId="8" borderId="1" xfId="1" applyNumberFormat="1" applyFont="1" applyFill="1" applyBorder="1"/>
    <xf numFmtId="0" fontId="2" fillId="8" borderId="0" xfId="3" applyFill="1"/>
    <xf numFmtId="166" fontId="2" fillId="8" borderId="0" xfId="3" applyNumberFormat="1" applyFill="1"/>
    <xf numFmtId="166" fontId="2" fillId="8" borderId="0" xfId="1" applyNumberFormat="1" applyFont="1" applyFill="1"/>
    <xf numFmtId="166" fontId="2" fillId="31" borderId="1" xfId="1" applyNumberFormat="1" applyFont="1" applyFill="1" applyBorder="1"/>
    <xf numFmtId="0" fontId="2" fillId="31" borderId="0" xfId="3" applyFill="1"/>
    <xf numFmtId="166" fontId="54" fillId="31" borderId="0" xfId="3" applyNumberFormat="1" applyFont="1" applyFill="1"/>
    <xf numFmtId="166" fontId="2" fillId="25" borderId="1" xfId="1" applyNumberFormat="1" applyFont="1" applyFill="1" applyBorder="1"/>
    <xf numFmtId="166" fontId="4" fillId="25" borderId="0" xfId="3" applyNumberFormat="1" applyFont="1" applyFill="1"/>
    <xf numFmtId="166" fontId="2" fillId="32" borderId="2" xfId="1" applyNumberFormat="1" applyFont="1" applyFill="1" applyBorder="1"/>
    <xf numFmtId="166" fontId="2" fillId="32" borderId="1" xfId="1" applyNumberFormat="1" applyFont="1" applyFill="1" applyBorder="1"/>
    <xf numFmtId="166" fontId="4" fillId="32" borderId="0" xfId="1" applyNumberFormat="1" applyFont="1" applyFill="1"/>
    <xf numFmtId="166" fontId="0" fillId="0" borderId="2" xfId="1" applyNumberFormat="1" applyFont="1" applyFill="1" applyBorder="1" applyAlignment="1">
      <alignment horizontal="center" vertical="center"/>
    </xf>
    <xf numFmtId="166" fontId="62" fillId="0" borderId="10" xfId="1" applyNumberFormat="1" applyFont="1" applyBorder="1" applyAlignment="1">
      <alignment horizontal="center" vertical="center"/>
    </xf>
    <xf numFmtId="166" fontId="61" fillId="0" borderId="2" xfId="1" applyNumberFormat="1" applyFont="1" applyFill="1" applyBorder="1" applyAlignment="1">
      <alignment horizontal="center" vertical="center"/>
    </xf>
    <xf numFmtId="166" fontId="0" fillId="3" borderId="11" xfId="1" applyNumberFormat="1" applyFont="1" applyFill="1" applyBorder="1"/>
    <xf numFmtId="166" fontId="18" fillId="3" borderId="2" xfId="1" applyNumberFormat="1" applyFont="1" applyFill="1" applyBorder="1"/>
    <xf numFmtId="166" fontId="45" fillId="3" borderId="2" xfId="1" applyNumberFormat="1" applyFont="1" applyFill="1" applyBorder="1"/>
    <xf numFmtId="166" fontId="0" fillId="11" borderId="2" xfId="1" applyNumberFormat="1" applyFont="1" applyFill="1" applyBorder="1"/>
    <xf numFmtId="166" fontId="0" fillId="29" borderId="2" xfId="1" applyNumberFormat="1" applyFont="1" applyFill="1" applyBorder="1"/>
    <xf numFmtId="166" fontId="20" fillId="29" borderId="1" xfId="1" applyNumberFormat="1" applyFont="1" applyFill="1" applyBorder="1" applyAlignment="1">
      <alignment horizontal="center" wrapText="1"/>
    </xf>
    <xf numFmtId="166" fontId="42" fillId="29" borderId="1" xfId="1" applyNumberFormat="1" applyFont="1" applyFill="1" applyBorder="1" applyAlignment="1">
      <alignment horizontal="center" wrapText="1"/>
    </xf>
    <xf numFmtId="166" fontId="59" fillId="0" borderId="12" xfId="1" applyNumberFormat="1" applyFont="1" applyFill="1" applyBorder="1" applyAlignment="1">
      <alignment horizontal="center" vertical="center" wrapText="1"/>
    </xf>
    <xf numFmtId="166" fontId="63" fillId="0" borderId="1" xfId="1" applyNumberFormat="1" applyFont="1" applyFill="1" applyBorder="1" applyAlignment="1">
      <alignment horizontal="center" vertical="center" wrapText="1"/>
    </xf>
    <xf numFmtId="166" fontId="4" fillId="29" borderId="1" xfId="1" applyNumberFormat="1" applyFont="1" applyFill="1" applyBorder="1"/>
    <xf numFmtId="166" fontId="4" fillId="29" borderId="1" xfId="1" applyNumberFormat="1" applyFont="1" applyFill="1" applyBorder="1" applyAlignment="1">
      <alignment vertical="center"/>
    </xf>
    <xf numFmtId="166" fontId="0" fillId="0" borderId="1" xfId="1" applyNumberFormat="1" applyFont="1" applyFill="1" applyBorder="1" applyAlignment="1">
      <alignment horizontal="center" vertical="center"/>
    </xf>
    <xf numFmtId="166" fontId="62" fillId="0" borderId="1" xfId="1" applyNumberFormat="1" applyFont="1" applyBorder="1" applyAlignment="1">
      <alignment horizontal="center" vertical="center"/>
    </xf>
    <xf numFmtId="166" fontId="61" fillId="0" borderId="1" xfId="1" applyNumberFormat="1" applyFont="1" applyFill="1" applyBorder="1" applyAlignment="1">
      <alignment horizontal="center" vertical="center"/>
    </xf>
    <xf numFmtId="166" fontId="0" fillId="33" borderId="1" xfId="1" applyNumberFormat="1" applyFont="1" applyFill="1" applyBorder="1"/>
    <xf numFmtId="166" fontId="0" fillId="25" borderId="2" xfId="1" applyNumberFormat="1" applyFont="1" applyFill="1" applyBorder="1"/>
    <xf numFmtId="0" fontId="0" fillId="34" borderId="1" xfId="0" applyFill="1" applyBorder="1"/>
    <xf numFmtId="166" fontId="0" fillId="34" borderId="1" xfId="1" applyNumberFormat="1" applyFont="1" applyFill="1" applyBorder="1"/>
    <xf numFmtId="166" fontId="0" fillId="34" borderId="0" xfId="1" applyNumberFormat="1" applyFont="1" applyFill="1"/>
    <xf numFmtId="166" fontId="0" fillId="34" borderId="1" xfId="0" applyNumberFormat="1" applyFill="1" applyBorder="1"/>
    <xf numFmtId="165" fontId="0" fillId="34" borderId="1" xfId="1" applyFont="1" applyFill="1" applyBorder="1"/>
    <xf numFmtId="9" fontId="0" fillId="34" borderId="0" xfId="14" applyFont="1" applyFill="1"/>
    <xf numFmtId="3" fontId="0" fillId="34" borderId="1" xfId="1" applyNumberFormat="1" applyFont="1" applyFill="1" applyBorder="1"/>
    <xf numFmtId="166" fontId="0" fillId="34" borderId="2" xfId="1" applyNumberFormat="1" applyFont="1" applyFill="1" applyBorder="1"/>
    <xf numFmtId="0" fontId="0" fillId="34" borderId="1" xfId="0" applyFill="1" applyBorder="1" applyAlignment="1">
      <alignment horizontal="right"/>
    </xf>
    <xf numFmtId="166" fontId="0" fillId="34" borderId="2" xfId="1" applyNumberFormat="1" applyFont="1" applyFill="1" applyBorder="1" applyAlignment="1">
      <alignment horizontal="center"/>
    </xf>
    <xf numFmtId="166" fontId="0" fillId="34" borderId="0" xfId="0" applyNumberFormat="1" applyFill="1"/>
    <xf numFmtId="0" fontId="0" fillId="34" borderId="0" xfId="0" applyFill="1"/>
    <xf numFmtId="166" fontId="18" fillId="34" borderId="1" xfId="1" applyNumberFormat="1" applyFont="1" applyFill="1" applyBorder="1"/>
    <xf numFmtId="166" fontId="2" fillId="19" borderId="1" xfId="1" applyNumberFormat="1" applyFont="1" applyFill="1" applyBorder="1" applyAlignment="1">
      <alignment horizontal="left"/>
    </xf>
    <xf numFmtId="166" fontId="2" fillId="19" borderId="1" xfId="3" applyNumberFormat="1" applyFill="1" applyBorder="1" applyAlignment="1">
      <alignment horizontal="left"/>
    </xf>
    <xf numFmtId="166" fontId="2" fillId="0" borderId="4" xfId="1" applyNumberFormat="1" applyFont="1" applyFill="1" applyBorder="1" applyAlignment="1"/>
    <xf numFmtId="166" fontId="3" fillId="30" borderId="1" xfId="1" applyNumberFormat="1" applyFont="1" applyFill="1" applyBorder="1"/>
    <xf numFmtId="166" fontId="4" fillId="0" borderId="2" xfId="1" applyNumberFormat="1" applyFont="1" applyFill="1" applyBorder="1"/>
    <xf numFmtId="166" fontId="43" fillId="0" borderId="1" xfId="1" applyNumberFormat="1" applyFont="1" applyFill="1" applyBorder="1" applyAlignment="1">
      <alignment vertical="center"/>
    </xf>
    <xf numFmtId="166" fontId="2" fillId="0" borderId="3" xfId="1" applyNumberFormat="1" applyFont="1" applyFill="1" applyBorder="1"/>
    <xf numFmtId="166" fontId="2" fillId="0" borderId="0" xfId="1" applyNumberFormat="1" applyFont="1" applyFill="1" applyBorder="1"/>
    <xf numFmtId="166" fontId="2" fillId="29" borderId="1" xfId="1" applyNumberFormat="1" applyFont="1" applyFill="1" applyBorder="1"/>
    <xf numFmtId="0" fontId="42" fillId="0" borderId="14" xfId="0" applyFont="1" applyBorder="1" applyAlignment="1">
      <alignment horizontal="center" vertical="center"/>
    </xf>
    <xf numFmtId="166" fontId="42" fillId="0" borderId="1" xfId="1" applyNumberFormat="1" applyFont="1" applyBorder="1" applyAlignment="1">
      <alignment horizontal="center" vertical="center"/>
    </xf>
    <xf numFmtId="166" fontId="59" fillId="0" borderId="4" xfId="1" applyNumberFormat="1" applyFont="1" applyFill="1" applyBorder="1" applyAlignment="1">
      <alignment horizontal="center" vertical="center" wrapText="1"/>
    </xf>
    <xf numFmtId="166" fontId="20" fillId="30" borderId="1" xfId="1" applyNumberFormat="1" applyFont="1" applyFill="1" applyBorder="1" applyAlignment="1">
      <alignment horizontal="center" wrapText="1"/>
    </xf>
    <xf numFmtId="166" fontId="0" fillId="9" borderId="1" xfId="0" applyNumberFormat="1" applyFill="1" applyBorder="1"/>
    <xf numFmtId="0" fontId="42" fillId="0" borderId="14" xfId="0" applyFont="1" applyBorder="1" applyAlignment="1">
      <alignment horizontal="center" vertical="center" wrapText="1"/>
    </xf>
    <xf numFmtId="166" fontId="42" fillId="0" borderId="14" xfId="1" applyNumberFormat="1" applyFont="1" applyBorder="1" applyAlignment="1">
      <alignment horizontal="center" vertical="center" wrapText="1"/>
    </xf>
    <xf numFmtId="166" fontId="0" fillId="9" borderId="2" xfId="0" applyNumberFormat="1" applyFill="1" applyBorder="1"/>
    <xf numFmtId="166" fontId="2" fillId="0" borderId="0" xfId="1" applyNumberFormat="1" applyFont="1" applyFill="1" applyBorder="1" applyAlignment="1">
      <alignment horizontal="left"/>
    </xf>
    <xf numFmtId="166" fontId="4" fillId="0" borderId="0" xfId="1" applyNumberFormat="1" applyFont="1" applyFill="1" applyBorder="1"/>
    <xf numFmtId="0" fontId="0" fillId="7" borderId="1" xfId="0" applyFill="1" applyBorder="1"/>
    <xf numFmtId="166" fontId="0" fillId="7" borderId="2" xfId="0" applyNumberFormat="1" applyFill="1" applyBorder="1"/>
    <xf numFmtId="0" fontId="0" fillId="11" borderId="1" xfId="0" applyFill="1" applyBorder="1"/>
    <xf numFmtId="166" fontId="21" fillId="0" borderId="0" xfId="1" applyNumberFormat="1" applyFont="1"/>
    <xf numFmtId="166" fontId="11" fillId="0" borderId="1" xfId="1" applyNumberFormat="1" applyFont="1" applyBorder="1" applyAlignment="1">
      <alignment vertical="center"/>
    </xf>
    <xf numFmtId="166" fontId="11" fillId="0" borderId="0" xfId="1" applyNumberFormat="1" applyFont="1" applyAlignment="1">
      <alignment vertical="center"/>
    </xf>
    <xf numFmtId="166" fontId="11" fillId="25" borderId="1" xfId="1" applyNumberFormat="1" applyFont="1" applyFill="1" applyBorder="1" applyAlignment="1">
      <alignment vertical="center"/>
    </xf>
    <xf numFmtId="166" fontId="2" fillId="2" borderId="12" xfId="1" applyNumberFormat="1" applyFont="1" applyFill="1" applyBorder="1" applyAlignment="1">
      <alignment horizontal="center"/>
    </xf>
    <xf numFmtId="166" fontId="2" fillId="2" borderId="5" xfId="1" applyNumberFormat="1" applyFont="1" applyFill="1" applyBorder="1" applyAlignment="1">
      <alignment horizontal="center"/>
    </xf>
    <xf numFmtId="166" fontId="2" fillId="29" borderId="1" xfId="1" applyNumberFormat="1" applyFont="1" applyFill="1" applyBorder="1" applyAlignment="1">
      <alignment horizontal="center" vertical="center"/>
    </xf>
    <xf numFmtId="166" fontId="4" fillId="29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8" fontId="0" fillId="0" borderId="1" xfId="0" applyNumberFormat="1" applyBorder="1" applyAlignment="1">
      <alignment wrapText="1"/>
    </xf>
    <xf numFmtId="168" fontId="0" fillId="0" borderId="1" xfId="0" applyNumberFormat="1" applyBorder="1"/>
    <xf numFmtId="166" fontId="42" fillId="2" borderId="1" xfId="1" applyNumberFormat="1" applyFont="1" applyFill="1" applyBorder="1" applyAlignment="1">
      <alignment horizontal="center" vertical="center"/>
    </xf>
    <xf numFmtId="166" fontId="65" fillId="2" borderId="1" xfId="1" applyNumberFormat="1" applyFont="1" applyFill="1" applyBorder="1" applyAlignment="1">
      <alignment horizontal="center" vertical="center"/>
    </xf>
    <xf numFmtId="166" fontId="42" fillId="0" borderId="14" xfId="1" applyNumberFormat="1" applyFont="1" applyFill="1" applyBorder="1" applyAlignment="1">
      <alignment horizontal="center" vertical="center" wrapText="1"/>
    </xf>
    <xf numFmtId="166" fontId="47" fillId="0" borderId="1" xfId="7" applyNumberFormat="1" applyFont="1" applyBorder="1"/>
    <xf numFmtId="166" fontId="47" fillId="0" borderId="2" xfId="7" applyNumberFormat="1" applyFont="1" applyBorder="1"/>
    <xf numFmtId="0" fontId="47" fillId="0" borderId="0" xfId="7" applyFont="1"/>
    <xf numFmtId="166" fontId="47" fillId="0" borderId="1" xfId="7" applyNumberFormat="1" applyFont="1" applyBorder="1" applyAlignment="1">
      <alignment horizontal="center"/>
    </xf>
    <xf numFmtId="166" fontId="47" fillId="0" borderId="0" xfId="7" applyNumberFormat="1" applyFont="1"/>
    <xf numFmtId="0" fontId="22" fillId="0" borderId="0" xfId="7" applyFont="1"/>
    <xf numFmtId="166" fontId="3" fillId="29" borderId="1" xfId="1" applyNumberFormat="1" applyFont="1" applyFill="1" applyBorder="1"/>
    <xf numFmtId="166" fontId="66" fillId="0" borderId="1" xfId="1" applyNumberFormat="1" applyFont="1" applyBorder="1"/>
    <xf numFmtId="166" fontId="42" fillId="23" borderId="1" xfId="1" applyNumberFormat="1" applyFont="1" applyFill="1" applyBorder="1" applyAlignment="1">
      <alignment horizontal="center" vertical="center" wrapText="1"/>
    </xf>
    <xf numFmtId="166" fontId="0" fillId="23" borderId="1" xfId="1" applyNumberFormat="1" applyFont="1" applyFill="1" applyBorder="1" applyAlignment="1">
      <alignment horizontal="center" vertical="center"/>
    </xf>
    <xf numFmtId="166" fontId="0" fillId="23" borderId="0" xfId="1" applyNumberFormat="1" applyFont="1" applyFill="1" applyAlignment="1">
      <alignment horizontal="center" vertical="center"/>
    </xf>
    <xf numFmtId="0" fontId="0" fillId="23" borderId="0" xfId="0" applyFill="1"/>
    <xf numFmtId="166" fontId="0" fillId="23" borderId="1" xfId="1" applyNumberFormat="1" applyFont="1" applyFill="1" applyBorder="1"/>
    <xf numFmtId="166" fontId="0" fillId="3" borderId="1" xfId="1" applyNumberFormat="1" applyFont="1" applyFill="1" applyBorder="1" applyAlignment="1">
      <alignment horizontal="center" vertical="center"/>
    </xf>
    <xf numFmtId="166" fontId="0" fillId="0" borderId="0" xfId="1" applyNumberFormat="1" applyFont="1" applyFill="1" applyAlignment="1">
      <alignment horizontal="center" vertical="center"/>
    </xf>
    <xf numFmtId="0" fontId="42" fillId="23" borderId="14" xfId="0" applyFont="1" applyFill="1" applyBorder="1" applyAlignment="1">
      <alignment horizontal="center" vertical="center" wrapText="1"/>
    </xf>
    <xf numFmtId="166" fontId="1" fillId="0" borderId="1" xfId="1" applyNumberFormat="1" applyFont="1" applyBorder="1"/>
    <xf numFmtId="9" fontId="0" fillId="0" borderId="0" xfId="14" applyFont="1" applyFill="1" applyBorder="1"/>
    <xf numFmtId="0" fontId="0" fillId="0" borderId="3" xfId="0" applyBorder="1"/>
    <xf numFmtId="0" fontId="54" fillId="0" borderId="1" xfId="3" applyFont="1" applyBorder="1"/>
    <xf numFmtId="166" fontId="20" fillId="0" borderId="1" xfId="1" applyNumberFormat="1" applyFont="1" applyBorder="1" applyAlignment="1">
      <alignment horizontal="center"/>
    </xf>
    <xf numFmtId="166" fontId="20" fillId="0" borderId="2" xfId="1" applyNumberFormat="1" applyFont="1" applyBorder="1" applyAlignment="1">
      <alignment horizontal="center"/>
    </xf>
    <xf numFmtId="166" fontId="20" fillId="12" borderId="2" xfId="1" applyNumberFormat="1" applyFont="1" applyFill="1" applyBorder="1" applyAlignment="1">
      <alignment horizontal="center"/>
    </xf>
    <xf numFmtId="166" fontId="20" fillId="11" borderId="1" xfId="1" applyNumberFormat="1" applyFont="1" applyFill="1" applyBorder="1" applyAlignment="1">
      <alignment horizontal="center" wrapText="1"/>
    </xf>
    <xf numFmtId="166" fontId="20" fillId="5" borderId="1" xfId="1" applyNumberFormat="1" applyFont="1" applyFill="1" applyBorder="1" applyAlignment="1">
      <alignment horizontal="center" wrapText="1"/>
    </xf>
    <xf numFmtId="14" fontId="0" fillId="0" borderId="1" xfId="0" applyNumberFormat="1" applyBorder="1"/>
    <xf numFmtId="166" fontId="45" fillId="21" borderId="2" xfId="1" applyNumberFormat="1" applyFont="1" applyFill="1" applyBorder="1" applyAlignment="1">
      <alignment horizontal="center" vertical="center"/>
    </xf>
    <xf numFmtId="0" fontId="20" fillId="30" borderId="14" xfId="0" applyFont="1" applyFill="1" applyBorder="1" applyAlignment="1">
      <alignment horizontal="center" vertical="center"/>
    </xf>
    <xf numFmtId="0" fontId="20" fillId="30" borderId="14" xfId="0" applyFont="1" applyFill="1" applyBorder="1" applyAlignment="1">
      <alignment horizontal="center" vertical="center" wrapText="1"/>
    </xf>
    <xf numFmtId="0" fontId="20" fillId="23" borderId="14" xfId="0" applyFont="1" applyFill="1" applyBorder="1" applyAlignment="1">
      <alignment horizontal="center" vertical="center" wrapText="1"/>
    </xf>
    <xf numFmtId="166" fontId="20" fillId="23" borderId="1" xfId="1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3" fontId="0" fillId="20" borderId="1" xfId="0" applyNumberFormat="1" applyFill="1" applyBorder="1"/>
    <xf numFmtId="3" fontId="0" fillId="20" borderId="1" xfId="0" applyNumberFormat="1" applyFill="1" applyBorder="1" applyAlignment="1">
      <alignment horizontal="center"/>
    </xf>
    <xf numFmtId="166" fontId="0" fillId="29" borderId="1" xfId="0" applyNumberFormat="1" applyFill="1" applyBorder="1"/>
    <xf numFmtId="166" fontId="0" fillId="0" borderId="3" xfId="0" applyNumberFormat="1" applyBorder="1"/>
    <xf numFmtId="3" fontId="0" fillId="0" borderId="3" xfId="0" applyNumberFormat="1" applyBorder="1"/>
    <xf numFmtId="3" fontId="0" fillId="0" borderId="3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16" borderId="1" xfId="0" applyFill="1" applyBorder="1"/>
    <xf numFmtId="166" fontId="20" fillId="0" borderId="1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/>
    <xf numFmtId="166" fontId="1" fillId="0" borderId="1" xfId="1" applyNumberFormat="1" applyFont="1" applyFill="1" applyBorder="1"/>
    <xf numFmtId="166" fontId="51" fillId="0" borderId="1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wrapText="1"/>
    </xf>
    <xf numFmtId="166" fontId="45" fillId="21" borderId="1" xfId="1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166" fontId="20" fillId="0" borderId="14" xfId="1" applyNumberFormat="1" applyFont="1" applyBorder="1" applyAlignment="1">
      <alignment horizontal="center" vertical="center" wrapText="1"/>
    </xf>
    <xf numFmtId="3" fontId="0" fillId="3" borderId="2" xfId="0" applyNumberFormat="1" applyFill="1" applyBorder="1"/>
    <xf numFmtId="164" fontId="0" fillId="16" borderId="2" xfId="0" applyNumberFormat="1" applyFill="1" applyBorder="1"/>
    <xf numFmtId="164" fontId="0" fillId="16" borderId="1" xfId="0" applyNumberFormat="1" applyFill="1" applyBorder="1"/>
    <xf numFmtId="164" fontId="0" fillId="0" borderId="0" xfId="0" applyNumberFormat="1"/>
    <xf numFmtId="164" fontId="0" fillId="0" borderId="10" xfId="0" applyNumberFormat="1" applyBorder="1"/>
    <xf numFmtId="166" fontId="66" fillId="0" borderId="1" xfId="1" applyNumberFormat="1" applyFont="1" applyFill="1" applyBorder="1" applyAlignment="1">
      <alignment horizontal="center" vertical="center"/>
    </xf>
    <xf numFmtId="166" fontId="3" fillId="0" borderId="0" xfId="1" applyNumberFormat="1" applyFont="1"/>
    <xf numFmtId="166" fontId="4" fillId="0" borderId="0" xfId="1" applyNumberFormat="1" applyFont="1"/>
    <xf numFmtId="166" fontId="2" fillId="0" borderId="0" xfId="1" applyNumberFormat="1" applyFont="1" applyAlignment="1">
      <alignment horizontal="left"/>
    </xf>
    <xf numFmtId="166" fontId="4" fillId="2" borderId="0" xfId="1" applyNumberFormat="1" applyFont="1" applyFill="1"/>
    <xf numFmtId="166" fontId="51" fillId="0" borderId="0" xfId="1" applyNumberFormat="1" applyFont="1" applyFill="1" applyBorder="1" applyAlignment="1"/>
    <xf numFmtId="166" fontId="51" fillId="0" borderId="0" xfId="1" applyNumberFormat="1" applyFont="1" applyFill="1"/>
    <xf numFmtId="166" fontId="2" fillId="0" borderId="0" xfId="1" applyNumberFormat="1" applyFont="1" applyFill="1" applyAlignment="1">
      <alignment horizontal="center"/>
    </xf>
    <xf numFmtId="166" fontId="4" fillId="2" borderId="2" xfId="1" applyNumberFormat="1" applyFont="1" applyFill="1" applyBorder="1" applyAlignment="1">
      <alignment horizontal="center"/>
    </xf>
    <xf numFmtId="166" fontId="40" fillId="0" borderId="1" xfId="1" applyNumberFormat="1" applyFont="1" applyBorder="1" applyAlignment="1">
      <alignment horizontal="center"/>
    </xf>
    <xf numFmtId="166" fontId="4" fillId="0" borderId="0" xfId="1" applyNumberFormat="1" applyFont="1" applyFill="1" applyAlignment="1">
      <alignment horizontal="center"/>
    </xf>
    <xf numFmtId="166" fontId="67" fillId="23" borderId="1" xfId="1" applyNumberFormat="1" applyFont="1" applyFill="1" applyBorder="1" applyAlignment="1">
      <alignment horizontal="center" vertical="center" wrapText="1"/>
    </xf>
    <xf numFmtId="166" fontId="46" fillId="0" borderId="1" xfId="1" applyNumberFormat="1" applyFont="1" applyBorder="1" applyAlignment="1">
      <alignment vertical="center"/>
    </xf>
    <xf numFmtId="166" fontId="47" fillId="0" borderId="1" xfId="1" applyNumberFormat="1" applyFont="1" applyFill="1" applyBorder="1" applyAlignment="1">
      <alignment horizontal="center" vertical="center"/>
    </xf>
    <xf numFmtId="166" fontId="47" fillId="0" borderId="1" xfId="1" applyNumberFormat="1" applyFont="1" applyFill="1" applyBorder="1" applyAlignment="1">
      <alignment horizontal="center"/>
    </xf>
    <xf numFmtId="166" fontId="47" fillId="0" borderId="3" xfId="1" applyNumberFormat="1" applyFont="1" applyFill="1" applyBorder="1"/>
    <xf numFmtId="166" fontId="70" fillId="0" borderId="0" xfId="1" applyNumberFormat="1" applyFont="1" applyFill="1" applyBorder="1" applyAlignment="1">
      <alignment vertical="center"/>
    </xf>
    <xf numFmtId="166" fontId="10" fillId="0" borderId="0" xfId="1" applyNumberFormat="1" applyFont="1" applyFill="1" applyBorder="1" applyAlignment="1">
      <alignment vertical="center"/>
    </xf>
    <xf numFmtId="0" fontId="10" fillId="0" borderId="0" xfId="6" applyAlignment="1">
      <alignment vertical="center"/>
    </xf>
    <xf numFmtId="166" fontId="10" fillId="0" borderId="15" xfId="1" applyNumberFormat="1" applyFont="1" applyFill="1" applyBorder="1" applyAlignment="1">
      <alignment vertical="center"/>
    </xf>
    <xf numFmtId="0" fontId="71" fillId="0" borderId="2" xfId="22" applyFont="1" applyFill="1" applyBorder="1" applyAlignment="1">
      <alignment horizontal="center" vertical="center"/>
    </xf>
    <xf numFmtId="166" fontId="69" fillId="0" borderId="16" xfId="1" applyNumberFormat="1" applyFont="1" applyFill="1" applyBorder="1" applyAlignment="1">
      <alignment horizontal="right"/>
    </xf>
    <xf numFmtId="0" fontId="10" fillId="0" borderId="2" xfId="6" applyBorder="1" applyAlignment="1">
      <alignment vertical="center"/>
    </xf>
    <xf numFmtId="166" fontId="69" fillId="0" borderId="17" xfId="1" applyNumberFormat="1" applyFont="1" applyFill="1" applyBorder="1"/>
    <xf numFmtId="166" fontId="10" fillId="0" borderId="0" xfId="1" applyNumberFormat="1" applyFont="1" applyFill="1" applyAlignment="1">
      <alignment vertical="center"/>
    </xf>
    <xf numFmtId="166" fontId="46" fillId="0" borderId="0" xfId="1" applyNumberFormat="1" applyFont="1" applyAlignment="1">
      <alignment vertical="center"/>
    </xf>
    <xf numFmtId="166" fontId="72" fillId="0" borderId="0" xfId="1" applyNumberFormat="1" applyFont="1" applyFill="1" applyAlignment="1">
      <alignment horizontal="center"/>
    </xf>
    <xf numFmtId="166" fontId="42" fillId="23" borderId="4" xfId="1" applyNumberFormat="1" applyFont="1" applyFill="1" applyBorder="1" applyAlignment="1">
      <alignment horizontal="center" vertical="center" wrapText="1"/>
    </xf>
    <xf numFmtId="166" fontId="2" fillId="24" borderId="1" xfId="1" applyNumberFormat="1" applyFont="1" applyFill="1" applyBorder="1"/>
    <xf numFmtId="166" fontId="43" fillId="0" borderId="0" xfId="1" applyNumberFormat="1" applyFont="1" applyAlignment="1">
      <alignment vertical="center"/>
    </xf>
    <xf numFmtId="166" fontId="43" fillId="0" borderId="2" xfId="1" applyNumberFormat="1" applyFont="1" applyFill="1" applyBorder="1" applyAlignment="1">
      <alignment vertical="center"/>
    </xf>
    <xf numFmtId="166" fontId="43" fillId="29" borderId="2" xfId="1" applyNumberFormat="1" applyFont="1" applyFill="1" applyBorder="1" applyAlignment="1">
      <alignment horizontal="center" vertical="center"/>
    </xf>
    <xf numFmtId="166" fontId="43" fillId="29" borderId="2" xfId="1" applyNumberFormat="1" applyFont="1" applyFill="1" applyBorder="1"/>
    <xf numFmtId="166" fontId="43" fillId="0" borderId="1" xfId="1" applyNumberFormat="1" applyFont="1" applyBorder="1" applyAlignment="1">
      <alignment vertical="center"/>
    </xf>
    <xf numFmtId="166" fontId="74" fillId="0" borderId="0" xfId="1" applyNumberFormat="1" applyFont="1" applyFill="1"/>
    <xf numFmtId="166" fontId="74" fillId="0" borderId="0" xfId="1" applyNumberFormat="1" applyFont="1" applyAlignment="1">
      <alignment vertical="center"/>
    </xf>
    <xf numFmtId="166" fontId="20" fillId="0" borderId="0" xfId="1" applyNumberFormat="1" applyFont="1"/>
    <xf numFmtId="44" fontId="21" fillId="0" borderId="1" xfId="23" applyFont="1" applyBorder="1"/>
    <xf numFmtId="44" fontId="22" fillId="0" borderId="1" xfId="23" applyFont="1" applyBorder="1"/>
    <xf numFmtId="166" fontId="0" fillId="35" borderId="1" xfId="1" applyNumberFormat="1" applyFont="1" applyFill="1" applyBorder="1"/>
    <xf numFmtId="166" fontId="31" fillId="0" borderId="1" xfId="1" applyNumberFormat="1" applyFont="1" applyBorder="1" applyAlignment="1">
      <alignment vertical="center"/>
    </xf>
    <xf numFmtId="166" fontId="42" fillId="23" borderId="12" xfId="1" applyNumberFormat="1" applyFont="1" applyFill="1" applyBorder="1" applyAlignment="1">
      <alignment horizontal="center" vertical="center" wrapText="1"/>
    </xf>
    <xf numFmtId="166" fontId="0" fillId="35" borderId="2" xfId="1" applyNumberFormat="1" applyFont="1" applyFill="1" applyBorder="1"/>
    <xf numFmtId="169" fontId="0" fillId="0" borderId="1" xfId="1" applyNumberFormat="1" applyFont="1" applyFill="1" applyBorder="1"/>
    <xf numFmtId="169" fontId="0" fillId="0" borderId="1" xfId="1" applyNumberFormat="1" applyFont="1" applyBorder="1"/>
    <xf numFmtId="9" fontId="0" fillId="0" borderId="2" xfId="14" applyFont="1" applyFill="1" applyBorder="1"/>
    <xf numFmtId="3" fontId="0" fillId="0" borderId="0" xfId="0" applyNumberFormat="1"/>
    <xf numFmtId="166" fontId="4" fillId="15" borderId="2" xfId="1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/>
    </xf>
    <xf numFmtId="166" fontId="40" fillId="0" borderId="2" xfId="1" applyNumberFormat="1" applyFont="1" applyBorder="1" applyAlignment="1">
      <alignment horizontal="center" wrapText="1"/>
    </xf>
    <xf numFmtId="166" fontId="40" fillId="0" borderId="2" xfId="1" applyNumberFormat="1" applyFont="1" applyBorder="1" applyAlignment="1">
      <alignment horizontal="center"/>
    </xf>
    <xf numFmtId="166" fontId="3" fillId="0" borderId="2" xfId="1" applyNumberFormat="1" applyFont="1" applyFill="1" applyBorder="1" applyAlignment="1">
      <alignment horizontal="center"/>
    </xf>
    <xf numFmtId="166" fontId="3" fillId="23" borderId="2" xfId="1" applyNumberFormat="1" applyFont="1" applyFill="1" applyBorder="1" applyAlignment="1">
      <alignment horizontal="center"/>
    </xf>
    <xf numFmtId="166" fontId="2" fillId="23" borderId="2" xfId="1" applyNumberFormat="1" applyFont="1" applyFill="1" applyBorder="1" applyAlignment="1">
      <alignment horizontal="center"/>
    </xf>
    <xf numFmtId="166" fontId="0" fillId="2" borderId="2" xfId="0" applyNumberFormat="1" applyFill="1" applyBorder="1"/>
    <xf numFmtId="166" fontId="61" fillId="0" borderId="1" xfId="1" applyNumberFormat="1" applyFont="1" applyFill="1" applyBorder="1"/>
    <xf numFmtId="3" fontId="3" fillId="0" borderId="0" xfId="3" applyNumberFormat="1" applyFont="1" applyAlignment="1">
      <alignment horizontal="center"/>
    </xf>
    <xf numFmtId="3" fontId="4" fillId="0" borderId="0" xfId="3" applyNumberFormat="1" applyFont="1" applyAlignment="1">
      <alignment horizontal="center"/>
    </xf>
    <xf numFmtId="166" fontId="2" fillId="0" borderId="0" xfId="1" applyNumberFormat="1" applyFont="1"/>
    <xf numFmtId="0" fontId="4" fillId="0" borderId="1" xfId="3" applyFont="1" applyBorder="1" applyAlignment="1">
      <alignment horizontal="center" wrapText="1"/>
    </xf>
    <xf numFmtId="166" fontId="43" fillId="0" borderId="1" xfId="1" applyNumberFormat="1" applyFont="1" applyBorder="1" applyAlignment="1">
      <alignment horizontal="center" vertical="center" wrapText="1"/>
    </xf>
    <xf numFmtId="3" fontId="11" fillId="0" borderId="1" xfId="6" applyNumberFormat="1" applyFont="1" applyBorder="1" applyAlignment="1">
      <alignment vertical="center"/>
    </xf>
    <xf numFmtId="3" fontId="11" fillId="0" borderId="0" xfId="6" applyNumberFormat="1" applyFont="1" applyAlignment="1">
      <alignment vertical="center"/>
    </xf>
    <xf numFmtId="169" fontId="30" fillId="0" borderId="1" xfId="1" applyNumberFormat="1" applyFont="1" applyFill="1" applyBorder="1"/>
    <xf numFmtId="1" fontId="0" fillId="0" borderId="0" xfId="0" applyNumberFormat="1"/>
    <xf numFmtId="0" fontId="75" fillId="0" borderId="0" xfId="0" applyFont="1" applyAlignment="1">
      <alignment vertical="center" wrapText="1"/>
    </xf>
    <xf numFmtId="3" fontId="63" fillId="0" borderId="1" xfId="3" applyNumberFormat="1" applyFont="1" applyBorder="1" applyAlignment="1">
      <alignment horizontal="center" vertical="center"/>
    </xf>
    <xf numFmtId="3" fontId="63" fillId="0" borderId="0" xfId="3" applyNumberFormat="1" applyFont="1" applyAlignment="1">
      <alignment horizontal="center" vertical="center"/>
    </xf>
    <xf numFmtId="3" fontId="43" fillId="2" borderId="1" xfId="3" applyNumberFormat="1" applyFont="1" applyFill="1" applyBorder="1" applyAlignment="1">
      <alignment horizontal="center" vertical="center"/>
    </xf>
    <xf numFmtId="166" fontId="74" fillId="2" borderId="0" xfId="1" applyNumberFormat="1" applyFont="1" applyFill="1" applyAlignment="1">
      <alignment vertical="center"/>
    </xf>
    <xf numFmtId="0" fontId="0" fillId="0" borderId="0" xfId="1" applyNumberFormat="1" applyFont="1"/>
    <xf numFmtId="166" fontId="0" fillId="40" borderId="2" xfId="1" applyNumberFormat="1" applyFont="1" applyFill="1" applyBorder="1"/>
    <xf numFmtId="3" fontId="21" fillId="0" borderId="1" xfId="7" applyNumberFormat="1" applyFont="1" applyBorder="1" applyAlignment="1">
      <alignment horizontal="center" vertical="center" wrapText="1"/>
    </xf>
    <xf numFmtId="3" fontId="21" fillId="0" borderId="0" xfId="7" applyNumberFormat="1" applyFont="1"/>
    <xf numFmtId="3" fontId="21" fillId="0" borderId="1" xfId="7" applyNumberFormat="1" applyFont="1" applyBorder="1" applyAlignment="1">
      <alignment horizontal="center"/>
    </xf>
    <xf numFmtId="0" fontId="30" fillId="0" borderId="0" xfId="0" applyFont="1"/>
    <xf numFmtId="0" fontId="0" fillId="0" borderId="0" xfId="1" applyNumberFormat="1" applyFont="1" applyFill="1" applyBorder="1"/>
    <xf numFmtId="0" fontId="0" fillId="0" borderId="0" xfId="1" applyNumberFormat="1" applyFont="1" applyFill="1"/>
    <xf numFmtId="0" fontId="0" fillId="0" borderId="0" xfId="1" applyNumberFormat="1" applyFont="1" applyBorder="1"/>
    <xf numFmtId="0" fontId="0" fillId="0" borderId="1" xfId="0" applyFill="1" applyBorder="1" applyAlignment="1">
      <alignment wrapText="1"/>
    </xf>
    <xf numFmtId="166" fontId="40" fillId="0" borderId="2" xfId="1" applyNumberFormat="1" applyFont="1" applyFill="1" applyBorder="1" applyAlignment="1">
      <alignment horizontal="center"/>
    </xf>
    <xf numFmtId="166" fontId="2" fillId="4" borderId="1" xfId="1" applyNumberFormat="1" applyFont="1" applyFill="1" applyBorder="1" applyAlignment="1">
      <alignment wrapText="1"/>
    </xf>
    <xf numFmtId="166" fontId="3" fillId="4" borderId="2" xfId="1" applyNumberFormat="1" applyFont="1" applyFill="1" applyBorder="1" applyAlignment="1">
      <alignment horizontal="center"/>
    </xf>
    <xf numFmtId="0" fontId="40" fillId="4" borderId="1" xfId="0" applyFont="1" applyFill="1" applyBorder="1"/>
    <xf numFmtId="169" fontId="0" fillId="4" borderId="1" xfId="1" applyNumberFormat="1" applyFont="1" applyFill="1" applyBorder="1"/>
    <xf numFmtId="3" fontId="21" fillId="4" borderId="1" xfId="7" applyNumberFormat="1" applyFont="1" applyFill="1" applyBorder="1" applyAlignment="1">
      <alignment horizontal="center"/>
    </xf>
    <xf numFmtId="169" fontId="76" fillId="38" borderId="1" xfId="1" applyNumberFormat="1" applyFont="1" applyFill="1" applyBorder="1"/>
    <xf numFmtId="0" fontId="76" fillId="0" borderId="0" xfId="1" applyNumberFormat="1" applyFont="1"/>
    <xf numFmtId="169" fontId="76" fillId="0" borderId="1" xfId="1" applyNumberFormat="1" applyFont="1" applyBorder="1"/>
    <xf numFmtId="169" fontId="76" fillId="39" borderId="1" xfId="1" applyNumberFormat="1" applyFont="1" applyFill="1" applyBorder="1"/>
    <xf numFmtId="169" fontId="76" fillId="36" borderId="1" xfId="1" applyNumberFormat="1" applyFont="1" applyFill="1" applyBorder="1"/>
    <xf numFmtId="169" fontId="76" fillId="0" borderId="1" xfId="1" applyNumberFormat="1" applyFont="1" applyFill="1" applyBorder="1"/>
    <xf numFmtId="0" fontId="18" fillId="0" borderId="0" xfId="1" applyNumberFormat="1" applyFont="1"/>
    <xf numFmtId="3" fontId="2" fillId="36" borderId="1" xfId="3" applyNumberFormat="1" applyFill="1" applyBorder="1" applyAlignment="1">
      <alignment horizontal="center" vertical="center"/>
    </xf>
    <xf numFmtId="3" fontId="43" fillId="36" borderId="1" xfId="3" applyNumberFormat="1" applyFont="1" applyFill="1" applyBorder="1" applyAlignment="1">
      <alignment horizontal="center" vertical="center"/>
    </xf>
    <xf numFmtId="3" fontId="43" fillId="36" borderId="1" xfId="1" applyNumberFormat="1" applyFont="1" applyFill="1" applyBorder="1" applyAlignment="1">
      <alignment horizontal="center" vertical="center"/>
    </xf>
    <xf numFmtId="3" fontId="2" fillId="10" borderId="3" xfId="3" applyNumberFormat="1" applyFont="1" applyFill="1" applyBorder="1" applyAlignment="1">
      <alignment vertical="center"/>
    </xf>
    <xf numFmtId="3" fontId="2" fillId="0" borderId="4" xfId="3" applyNumberFormat="1" applyBorder="1"/>
    <xf numFmtId="3" fontId="2" fillId="0" borderId="1" xfId="3" applyNumberFormat="1" applyBorder="1" applyAlignment="1">
      <alignment horizontal="center"/>
    </xf>
    <xf numFmtId="3" fontId="43" fillId="0" borderId="1" xfId="3" applyNumberFormat="1" applyFont="1" applyBorder="1" applyAlignment="1">
      <alignment horizontal="center" vertical="center"/>
    </xf>
    <xf numFmtId="3" fontId="43" fillId="0" borderId="1" xfId="3" applyNumberFormat="1" applyFont="1" applyBorder="1" applyAlignment="1">
      <alignment horizontal="center"/>
    </xf>
    <xf numFmtId="0" fontId="46" fillId="0" borderId="0" xfId="6" applyFont="1" applyAlignment="1">
      <alignment vertical="center"/>
    </xf>
    <xf numFmtId="3" fontId="11" fillId="36" borderId="1" xfId="6" applyNumberFormat="1" applyFont="1" applyFill="1" applyBorder="1" applyAlignment="1">
      <alignment horizontal="center" vertical="center"/>
    </xf>
    <xf numFmtId="3" fontId="11" fillId="10" borderId="1" xfId="6" applyNumberFormat="1" applyFont="1" applyFill="1" applyBorder="1" applyAlignment="1">
      <alignment horizontal="center" vertical="center"/>
    </xf>
    <xf numFmtId="3" fontId="11" fillId="0" borderId="1" xfId="6" applyNumberFormat="1" applyFont="1" applyBorder="1" applyAlignment="1">
      <alignment horizontal="center" vertical="center"/>
    </xf>
    <xf numFmtId="3" fontId="11" fillId="0" borderId="0" xfId="6" applyNumberFormat="1" applyFont="1" applyAlignment="1">
      <alignment horizontal="center" vertical="center"/>
    </xf>
    <xf numFmtId="3" fontId="46" fillId="0" borderId="0" xfId="6" applyNumberFormat="1" applyFont="1" applyAlignment="1">
      <alignment horizontal="center" vertical="center"/>
    </xf>
    <xf numFmtId="3" fontId="46" fillId="0" borderId="0" xfId="6" applyNumberFormat="1" applyFont="1" applyAlignment="1">
      <alignment vertical="center"/>
    </xf>
    <xf numFmtId="3" fontId="3" fillId="0" borderId="2" xfId="3" applyNumberFormat="1" applyFont="1" applyBorder="1" applyAlignment="1">
      <alignment horizontal="center"/>
    </xf>
    <xf numFmtId="3" fontId="4" fillId="36" borderId="2" xfId="3" applyNumberFormat="1" applyFont="1" applyFill="1" applyBorder="1" applyAlignment="1">
      <alignment horizontal="center" vertical="center"/>
    </xf>
    <xf numFmtId="3" fontId="4" fillId="10" borderId="1" xfId="3" applyNumberFormat="1" applyFont="1" applyFill="1" applyBorder="1" applyAlignment="1">
      <alignment horizontal="center" vertical="center"/>
    </xf>
    <xf numFmtId="3" fontId="2" fillId="0" borderId="1" xfId="3" applyNumberFormat="1" applyBorder="1" applyAlignment="1">
      <alignment horizontal="left"/>
    </xf>
    <xf numFmtId="3" fontId="3" fillId="0" borderId="0" xfId="3" applyNumberFormat="1" applyFont="1"/>
    <xf numFmtId="3" fontId="3" fillId="0" borderId="0" xfId="1" applyNumberFormat="1" applyFont="1"/>
    <xf numFmtId="3" fontId="0" fillId="0" borderId="2" xfId="1" applyNumberFormat="1" applyFont="1" applyBorder="1"/>
    <xf numFmtId="3" fontId="0" fillId="4" borderId="2" xfId="0" applyNumberFormat="1" applyFill="1" applyBorder="1"/>
    <xf numFmtId="3" fontId="0" fillId="36" borderId="2" xfId="0" applyNumberFormat="1" applyFill="1" applyBorder="1"/>
    <xf numFmtId="3" fontId="0" fillId="0" borderId="2" xfId="1" applyNumberFormat="1" applyFont="1" applyFill="1" applyBorder="1"/>
    <xf numFmtId="3" fontId="20" fillId="36" borderId="2" xfId="0" applyNumberFormat="1" applyFont="1" applyFill="1" applyBorder="1" applyAlignment="1">
      <alignment vertical="center"/>
    </xf>
    <xf numFmtId="3" fontId="0" fillId="10" borderId="1" xfId="0" applyNumberFormat="1" applyFill="1" applyBorder="1" applyAlignment="1">
      <alignment horizontal="center" vertical="center"/>
    </xf>
    <xf numFmtId="0" fontId="0" fillId="24" borderId="0" xfId="0" applyFill="1"/>
    <xf numFmtId="3" fontId="0" fillId="23" borderId="1" xfId="0" applyNumberFormat="1" applyFill="1" applyBorder="1"/>
    <xf numFmtId="3" fontId="0" fillId="10" borderId="2" xfId="0" applyNumberFormat="1" applyFill="1" applyBorder="1" applyAlignment="1">
      <alignment horizontal="center" vertical="center"/>
    </xf>
    <xf numFmtId="3" fontId="0" fillId="19" borderId="2" xfId="0" applyNumberFormat="1" applyFill="1" applyBorder="1"/>
    <xf numFmtId="3" fontId="0" fillId="23" borderId="2" xfId="0" applyNumberFormat="1" applyFill="1" applyBorder="1"/>
    <xf numFmtId="3" fontId="0" fillId="0" borderId="1" xfId="0" applyNumberFormat="1" applyBorder="1" applyAlignment="1"/>
    <xf numFmtId="3" fontId="0" fillId="0" borderId="1" xfId="1" applyNumberFormat="1" applyFont="1" applyFill="1" applyBorder="1" applyAlignme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4" xfId="0" applyFill="1" applyBorder="1" applyAlignment="1">
      <alignment wrapText="1"/>
    </xf>
    <xf numFmtId="3" fontId="3" fillId="0" borderId="1" xfId="3" applyNumberFormat="1" applyFont="1" applyBorder="1" applyAlignment="1">
      <alignment horizontal="center"/>
    </xf>
    <xf numFmtId="166" fontId="51" fillId="3" borderId="2" xfId="1" applyNumberFormat="1" applyFont="1" applyFill="1" applyBorder="1"/>
    <xf numFmtId="166" fontId="0" fillId="36" borderId="2" xfId="1" applyNumberFormat="1" applyFont="1" applyFill="1" applyBorder="1"/>
    <xf numFmtId="166" fontId="0" fillId="23" borderId="2" xfId="1" applyNumberFormat="1" applyFont="1" applyFill="1" applyBorder="1"/>
    <xf numFmtId="166" fontId="0" fillId="36" borderId="2" xfId="1" applyNumberFormat="1" applyFont="1" applyFill="1" applyBorder="1" applyAlignment="1">
      <alignment vertical="center"/>
    </xf>
    <xf numFmtId="3" fontId="18" fillId="36" borderId="2" xfId="0" applyNumberFormat="1" applyFont="1" applyFill="1" applyBorder="1"/>
    <xf numFmtId="3" fontId="18" fillId="3" borderId="2" xfId="0" applyNumberFormat="1" applyFont="1" applyFill="1" applyBorder="1"/>
    <xf numFmtId="166" fontId="61" fillId="0" borderId="2" xfId="1" applyNumberFormat="1" applyFont="1" applyFill="1" applyBorder="1"/>
    <xf numFmtId="0" fontId="0" fillId="36" borderId="2" xfId="0" applyFill="1" applyBorder="1" applyAlignment="1">
      <alignment horizontal="center" vertical="center"/>
    </xf>
    <xf numFmtId="3" fontId="51" fillId="0" borderId="2" xfId="0" applyNumberFormat="1" applyFont="1" applyBorder="1"/>
    <xf numFmtId="3" fontId="0" fillId="24" borderId="1" xfId="1" applyNumberFormat="1" applyFont="1" applyFill="1" applyBorder="1"/>
    <xf numFmtId="3" fontId="0" fillId="24" borderId="1" xfId="0" applyNumberFormat="1" applyFill="1" applyBorder="1"/>
    <xf numFmtId="3" fontId="3" fillId="36" borderId="1" xfId="3" applyNumberFormat="1" applyFont="1" applyFill="1" applyBorder="1" applyAlignment="1">
      <alignment horizontal="center"/>
    </xf>
    <xf numFmtId="166" fontId="4" fillId="36" borderId="0" xfId="1" applyNumberFormat="1" applyFont="1" applyFill="1" applyBorder="1" applyAlignment="1">
      <alignment horizontal="left"/>
    </xf>
    <xf numFmtId="0" fontId="4" fillId="36" borderId="0" xfId="3" applyFont="1" applyFill="1" applyBorder="1" applyAlignment="1">
      <alignment horizontal="left"/>
    </xf>
    <xf numFmtId="3" fontId="2" fillId="2" borderId="2" xfId="3" applyNumberFormat="1" applyFill="1" applyBorder="1" applyAlignment="1">
      <alignment horizontal="center"/>
    </xf>
    <xf numFmtId="3" fontId="4" fillId="2" borderId="2" xfId="3" applyNumberFormat="1" applyFont="1" applyFill="1" applyBorder="1" applyAlignment="1">
      <alignment horizontal="center"/>
    </xf>
    <xf numFmtId="3" fontId="0" fillId="24" borderId="2" xfId="0" applyNumberFormat="1" applyFill="1" applyBorder="1" applyAlignment="1">
      <alignment horizontal="center" wrapText="1"/>
    </xf>
    <xf numFmtId="3" fontId="4" fillId="24" borderId="1" xfId="3" applyNumberFormat="1" applyFont="1" applyFill="1" applyBorder="1" applyAlignment="1">
      <alignment horizontal="center"/>
    </xf>
    <xf numFmtId="3" fontId="0" fillId="24" borderId="2" xfId="0" applyNumberFormat="1" applyFill="1" applyBorder="1" applyAlignment="1">
      <alignment horizontal="center"/>
    </xf>
    <xf numFmtId="3" fontId="4" fillId="24" borderId="2" xfId="3" applyNumberFormat="1" applyFont="1" applyFill="1" applyBorder="1" applyAlignment="1">
      <alignment horizontal="center"/>
    </xf>
    <xf numFmtId="3" fontId="2" fillId="35" borderId="2" xfId="3" applyNumberFormat="1" applyFill="1" applyBorder="1" applyAlignment="1">
      <alignment horizontal="center"/>
    </xf>
    <xf numFmtId="3" fontId="4" fillId="35" borderId="1" xfId="3" applyNumberFormat="1" applyFont="1" applyFill="1" applyBorder="1" applyAlignment="1">
      <alignment horizontal="center"/>
    </xf>
    <xf numFmtId="3" fontId="2" fillId="35" borderId="1" xfId="3" applyNumberFormat="1" applyFill="1" applyBorder="1" applyAlignment="1">
      <alignment horizontal="center"/>
    </xf>
    <xf numFmtId="3" fontId="4" fillId="35" borderId="2" xfId="3" applyNumberFormat="1" applyFont="1" applyFill="1" applyBorder="1" applyAlignment="1">
      <alignment horizontal="center"/>
    </xf>
    <xf numFmtId="3" fontId="3" fillId="41" borderId="2" xfId="3" applyNumberFormat="1" applyFont="1" applyFill="1" applyBorder="1" applyAlignment="1">
      <alignment horizontal="center"/>
    </xf>
    <xf numFmtId="3" fontId="3" fillId="41" borderId="1" xfId="3" applyNumberFormat="1" applyFont="1" applyFill="1" applyBorder="1" applyAlignment="1">
      <alignment horizontal="center"/>
    </xf>
    <xf numFmtId="3" fontId="3" fillId="35" borderId="2" xfId="3" applyNumberFormat="1" applyFont="1" applyFill="1" applyBorder="1" applyAlignment="1">
      <alignment horizontal="center"/>
    </xf>
    <xf numFmtId="3" fontId="3" fillId="35" borderId="1" xfId="1" applyNumberFormat="1" applyFont="1" applyFill="1" applyBorder="1" applyAlignment="1">
      <alignment horizontal="center"/>
    </xf>
    <xf numFmtId="3" fontId="3" fillId="35" borderId="1" xfId="3" applyNumberFormat="1" applyFont="1" applyFill="1" applyBorder="1" applyAlignment="1">
      <alignment horizontal="center"/>
    </xf>
    <xf numFmtId="3" fontId="3" fillId="39" borderId="2" xfId="1" applyNumberFormat="1" applyFont="1" applyFill="1" applyBorder="1" applyAlignment="1">
      <alignment horizontal="right"/>
    </xf>
    <xf numFmtId="3" fontId="3" fillId="39" borderId="1" xfId="3" applyNumberFormat="1" applyFont="1" applyFill="1" applyBorder="1" applyAlignment="1">
      <alignment horizontal="center"/>
    </xf>
    <xf numFmtId="3" fontId="73" fillId="39" borderId="2" xfId="1" applyNumberFormat="1" applyFont="1" applyFill="1" applyBorder="1" applyAlignment="1">
      <alignment horizontal="right"/>
    </xf>
    <xf numFmtId="3" fontId="0" fillId="39" borderId="1" xfId="0" applyNumberFormat="1" applyFill="1" applyBorder="1" applyAlignment="1">
      <alignment horizontal="center"/>
    </xf>
    <xf numFmtId="3" fontId="3" fillId="39" borderId="1" xfId="1" applyNumberFormat="1" applyFont="1" applyFill="1" applyBorder="1" applyAlignment="1">
      <alignment horizontal="center"/>
    </xf>
    <xf numFmtId="3" fontId="40" fillId="39" borderId="2" xfId="0" applyNumberFormat="1" applyFont="1" applyFill="1" applyBorder="1" applyAlignment="1">
      <alignment horizontal="right"/>
    </xf>
    <xf numFmtId="3" fontId="2" fillId="39" borderId="1" xfId="1" applyNumberFormat="1" applyFont="1" applyFill="1" applyBorder="1" applyAlignment="1">
      <alignment horizontal="center"/>
    </xf>
    <xf numFmtId="3" fontId="2" fillId="39" borderId="2" xfId="3" applyNumberFormat="1" applyFill="1" applyBorder="1" applyAlignment="1">
      <alignment horizontal="right"/>
    </xf>
    <xf numFmtId="3" fontId="3" fillId="39" borderId="2" xfId="3" applyNumberFormat="1" applyFont="1" applyFill="1" applyBorder="1" applyAlignment="1">
      <alignment horizontal="right"/>
    </xf>
    <xf numFmtId="3" fontId="3" fillId="39" borderId="2" xfId="3" applyNumberFormat="1" applyFont="1" applyFill="1" applyBorder="1" applyAlignment="1">
      <alignment horizontal="center"/>
    </xf>
    <xf numFmtId="3" fontId="0" fillId="39" borderId="1" xfId="0" applyNumberFormat="1" applyFill="1" applyBorder="1"/>
    <xf numFmtId="169" fontId="0" fillId="0" borderId="0" xfId="1" applyNumberFormat="1" applyFont="1"/>
    <xf numFmtId="3" fontId="0" fillId="36" borderId="2" xfId="0" applyNumberFormat="1" applyFill="1" applyBorder="1" applyAlignment="1">
      <alignment horizontal="center" vertical="center"/>
    </xf>
    <xf numFmtId="169" fontId="42" fillId="10" borderId="1" xfId="1" applyNumberFormat="1" applyFont="1" applyFill="1" applyBorder="1" applyAlignment="1">
      <alignment horizontal="center" vertical="center"/>
    </xf>
    <xf numFmtId="3" fontId="20" fillId="10" borderId="1" xfId="1" applyNumberFormat="1" applyFont="1" applyFill="1" applyBorder="1" applyAlignment="1">
      <alignment horizontal="center" vertical="center" wrapText="1"/>
    </xf>
    <xf numFmtId="0" fontId="0" fillId="36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10" borderId="0" xfId="0" applyNumberFormat="1" applyFill="1" applyAlignment="1">
      <alignment horizontal="center" vertical="center"/>
    </xf>
    <xf numFmtId="0" fontId="0" fillId="37" borderId="2" xfId="0" applyFill="1" applyBorder="1" applyAlignment="1">
      <alignment vertical="center"/>
    </xf>
    <xf numFmtId="166" fontId="42" fillId="23" borderId="18" xfId="1" applyNumberFormat="1" applyFont="1" applyFill="1" applyBorder="1" applyAlignment="1">
      <alignment horizontal="center" vertical="center" wrapText="1"/>
    </xf>
    <xf numFmtId="166" fontId="2" fillId="0" borderId="0" xfId="3" applyNumberFormat="1" applyAlignment="1">
      <alignment horizontal="left"/>
    </xf>
    <xf numFmtId="169" fontId="0" fillId="0" borderId="2" xfId="1" applyNumberFormat="1" applyFont="1" applyFill="1" applyBorder="1"/>
    <xf numFmtId="169" fontId="0" fillId="0" borderId="2" xfId="1" applyNumberFormat="1" applyFont="1" applyBorder="1"/>
    <xf numFmtId="169" fontId="0" fillId="40" borderId="2" xfId="1" applyNumberFormat="1" applyFont="1" applyFill="1" applyBorder="1"/>
    <xf numFmtId="169" fontId="0" fillId="3" borderId="2" xfId="1" applyNumberFormat="1" applyFont="1" applyFill="1" applyBorder="1"/>
    <xf numFmtId="169" fontId="18" fillId="0" borderId="2" xfId="1" applyNumberFormat="1" applyFont="1" applyBorder="1"/>
    <xf numFmtId="3" fontId="0" fillId="0" borderId="1" xfId="0" applyNumberFormat="1" applyFont="1" applyBorder="1" applyAlignment="1">
      <alignment horizontal="right"/>
    </xf>
    <xf numFmtId="3" fontId="0" fillId="19" borderId="1" xfId="0" applyNumberFormat="1" applyFont="1" applyFill="1" applyBorder="1"/>
    <xf numFmtId="3" fontId="0" fillId="19" borderId="1" xfId="0" applyNumberFormat="1" applyFill="1" applyBorder="1"/>
    <xf numFmtId="3" fontId="0" fillId="35" borderId="1" xfId="1" applyNumberFormat="1" applyFont="1" applyFill="1" applyBorder="1"/>
    <xf numFmtId="3" fontId="0" fillId="4" borderId="1" xfId="0" applyNumberFormat="1" applyFill="1" applyBorder="1"/>
    <xf numFmtId="3" fontId="11" fillId="2" borderId="1" xfId="6" applyNumberFormat="1" applyFont="1" applyFill="1" applyBorder="1" applyAlignment="1">
      <alignment horizontal="center" vertical="center"/>
    </xf>
    <xf numFmtId="169" fontId="0" fillId="19" borderId="1" xfId="1" applyNumberFormat="1" applyFont="1" applyFill="1" applyBorder="1"/>
    <xf numFmtId="0" fontId="46" fillId="10" borderId="0" xfId="6" applyFont="1" applyFill="1" applyAlignment="1">
      <alignment vertical="center"/>
    </xf>
    <xf numFmtId="3" fontId="46" fillId="10" borderId="0" xfId="6" applyNumberFormat="1" applyFont="1" applyFill="1" applyAlignment="1">
      <alignment vertical="center"/>
    </xf>
    <xf numFmtId="0" fontId="11" fillId="10" borderId="0" xfId="6" applyFont="1" applyFill="1" applyAlignment="1">
      <alignment vertical="center"/>
    </xf>
    <xf numFmtId="3" fontId="11" fillId="10" borderId="0" xfId="6" applyNumberFormat="1" applyFont="1" applyFill="1" applyAlignment="1">
      <alignment vertical="center"/>
    </xf>
    <xf numFmtId="166" fontId="2" fillId="10" borderId="0" xfId="1" applyNumberFormat="1" applyFont="1" applyFill="1"/>
    <xf numFmtId="166" fontId="3" fillId="10" borderId="0" xfId="1" applyNumberFormat="1" applyFont="1" applyFill="1"/>
    <xf numFmtId="166" fontId="4" fillId="2" borderId="1" xfId="1" applyNumberFormat="1" applyFont="1" applyFill="1" applyBorder="1" applyAlignment="1"/>
    <xf numFmtId="3" fontId="2" fillId="2" borderId="1" xfId="3" applyNumberFormat="1" applyFill="1" applyBorder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/>
    </xf>
    <xf numFmtId="3" fontId="0" fillId="36" borderId="1" xfId="0" applyNumberFormat="1" applyFill="1" applyBorder="1" applyAlignment="1"/>
    <xf numFmtId="0" fontId="0" fillId="10" borderId="0" xfId="0" applyFill="1"/>
    <xf numFmtId="1" fontId="0" fillId="10" borderId="0" xfId="0" applyNumberFormat="1" applyFill="1"/>
    <xf numFmtId="166" fontId="0" fillId="36" borderId="1" xfId="1" applyNumberFormat="1" applyFont="1" applyFill="1" applyBorder="1"/>
    <xf numFmtId="166" fontId="30" fillId="0" borderId="1" xfId="1" applyNumberFormat="1" applyFont="1" applyFill="1" applyBorder="1"/>
    <xf numFmtId="166" fontId="47" fillId="42" borderId="1" xfId="4" applyNumberFormat="1" applyFont="1" applyFill="1" applyBorder="1" applyAlignment="1">
      <alignment horizontal="left" vertical="center"/>
    </xf>
    <xf numFmtId="166" fontId="47" fillId="36" borderId="1" xfId="1" applyNumberFormat="1" applyFont="1" applyFill="1" applyBorder="1"/>
    <xf numFmtId="3" fontId="21" fillId="36" borderId="1" xfId="7" applyNumberFormat="1" applyFont="1" applyFill="1" applyBorder="1" applyAlignment="1">
      <alignment horizontal="center"/>
    </xf>
    <xf numFmtId="166" fontId="47" fillId="0" borderId="3" xfId="4" applyNumberFormat="1" applyFont="1" applyFill="1" applyBorder="1" applyAlignment="1">
      <alignment horizontal="center" vertical="center"/>
    </xf>
    <xf numFmtId="166" fontId="47" fillId="0" borderId="10" xfId="4" applyNumberFormat="1" applyFont="1" applyFill="1" applyBorder="1" applyAlignment="1">
      <alignment horizontal="center" vertical="center"/>
    </xf>
    <xf numFmtId="166" fontId="47" fillId="0" borderId="3" xfId="1" applyNumberFormat="1" applyFont="1" applyFill="1" applyBorder="1" applyAlignment="1">
      <alignment horizontal="center" vertical="center"/>
    </xf>
    <xf numFmtId="166" fontId="47" fillId="0" borderId="3" xfId="7" applyNumberFormat="1" applyFont="1" applyBorder="1"/>
    <xf numFmtId="166" fontId="47" fillId="0" borderId="3" xfId="7" applyNumberFormat="1" applyFont="1" applyBorder="1" applyAlignment="1">
      <alignment horizontal="center"/>
    </xf>
    <xf numFmtId="166" fontId="47" fillId="0" borderId="3" xfId="1" applyNumberFormat="1" applyFont="1" applyFill="1" applyBorder="1" applyAlignment="1">
      <alignment horizontal="center"/>
    </xf>
    <xf numFmtId="166" fontId="47" fillId="36" borderId="3" xfId="1" applyNumberFormat="1" applyFont="1" applyFill="1" applyBorder="1"/>
    <xf numFmtId="3" fontId="21" fillId="36" borderId="3" xfId="7" applyNumberFormat="1" applyFont="1" applyFill="1" applyBorder="1" applyAlignment="1">
      <alignment horizontal="center"/>
    </xf>
    <xf numFmtId="0" fontId="21" fillId="0" borderId="1" xfId="7" applyFont="1" applyBorder="1" applyAlignment="1">
      <alignment vertical="center"/>
    </xf>
    <xf numFmtId="166" fontId="21" fillId="0" borderId="1" xfId="4" applyNumberFormat="1" applyFont="1" applyFill="1" applyBorder="1"/>
    <xf numFmtId="0" fontId="21" fillId="0" borderId="1" xfId="7" applyFont="1" applyBorder="1" applyAlignment="1">
      <alignment horizontal="center"/>
    </xf>
    <xf numFmtId="166" fontId="21" fillId="0" borderId="1" xfId="7" applyNumberFormat="1" applyFont="1" applyBorder="1"/>
    <xf numFmtId="166" fontId="68" fillId="0" borderId="1" xfId="1" applyNumberFormat="1" applyFont="1" applyFill="1" applyBorder="1"/>
    <xf numFmtId="166" fontId="69" fillId="0" borderId="1" xfId="1" applyNumberFormat="1" applyFont="1" applyFill="1" applyBorder="1" applyAlignment="1"/>
    <xf numFmtId="3" fontId="21" fillId="0" borderId="1" xfId="7" applyNumberFormat="1" applyFont="1" applyBorder="1"/>
    <xf numFmtId="166" fontId="21" fillId="0" borderId="1" xfId="1" applyNumberFormat="1" applyFont="1" applyFill="1" applyBorder="1" applyAlignment="1">
      <alignment horizontal="right"/>
    </xf>
    <xf numFmtId="166" fontId="21" fillId="0" borderId="1" xfId="1" applyNumberFormat="1" applyFont="1" applyBorder="1"/>
    <xf numFmtId="0" fontId="47" fillId="0" borderId="1" xfId="7" applyFont="1" applyBorder="1" applyAlignment="1">
      <alignment vertical="center"/>
    </xf>
    <xf numFmtId="166" fontId="47" fillId="5" borderId="1" xfId="4" applyNumberFormat="1" applyFont="1" applyFill="1" applyBorder="1" applyAlignment="1">
      <alignment horizontal="left" vertical="center"/>
    </xf>
    <xf numFmtId="166" fontId="47" fillId="5" borderId="3" xfId="4" applyNumberFormat="1" applyFont="1" applyFill="1" applyBorder="1" applyAlignment="1">
      <alignment horizontal="left" vertical="center"/>
    </xf>
    <xf numFmtId="0" fontId="47" fillId="5" borderId="1" xfId="7" applyFont="1" applyFill="1" applyBorder="1" applyAlignment="1">
      <alignment vertical="center"/>
    </xf>
    <xf numFmtId="0" fontId="21" fillId="5" borderId="0" xfId="7" applyFont="1" applyFill="1"/>
    <xf numFmtId="3" fontId="21" fillId="10" borderId="1" xfId="7" applyNumberFormat="1" applyFont="1" applyFill="1" applyBorder="1" applyAlignment="1">
      <alignment horizontal="center" vertical="center" wrapText="1"/>
    </xf>
    <xf numFmtId="3" fontId="22" fillId="0" borderId="1" xfId="7" applyNumberFormat="1" applyFont="1" applyBorder="1"/>
    <xf numFmtId="3" fontId="21" fillId="0" borderId="3" xfId="7" applyNumberFormat="1" applyFont="1" applyBorder="1"/>
    <xf numFmtId="3" fontId="43" fillId="0" borderId="3" xfId="3" applyNumberFormat="1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3" fontId="43" fillId="0" borderId="4" xfId="3" applyNumberFormat="1" applyFont="1" applyBorder="1" applyAlignment="1">
      <alignment horizontal="center" vertical="center"/>
    </xf>
    <xf numFmtId="3" fontId="42" fillId="0" borderId="4" xfId="0" applyNumberFormat="1" applyFont="1" applyBorder="1" applyAlignment="1">
      <alignment horizontal="center" vertical="center"/>
    </xf>
    <xf numFmtId="3" fontId="43" fillId="36" borderId="3" xfId="3" applyNumberFormat="1" applyFont="1" applyFill="1" applyBorder="1" applyAlignment="1">
      <alignment horizontal="center" vertical="center"/>
    </xf>
    <xf numFmtId="3" fontId="42" fillId="36" borderId="4" xfId="0" applyNumberFormat="1" applyFont="1" applyFill="1" applyBorder="1" applyAlignment="1">
      <alignment horizontal="center" vertical="center"/>
    </xf>
    <xf numFmtId="3" fontId="42" fillId="36" borderId="5" xfId="0" applyNumberFormat="1" applyFont="1" applyFill="1" applyBorder="1" applyAlignment="1">
      <alignment horizontal="center" vertical="center"/>
    </xf>
    <xf numFmtId="3" fontId="43" fillId="19" borderId="3" xfId="3" applyNumberFormat="1" applyFont="1" applyFill="1" applyBorder="1" applyAlignment="1">
      <alignment horizontal="center" vertical="center"/>
    </xf>
    <xf numFmtId="0" fontId="42" fillId="19" borderId="4" xfId="0" applyFont="1" applyFill="1" applyBorder="1" applyAlignment="1">
      <alignment horizontal="center" vertical="center"/>
    </xf>
    <xf numFmtId="0" fontId="42" fillId="19" borderId="5" xfId="0" applyFont="1" applyFill="1" applyBorder="1" applyAlignment="1">
      <alignment horizontal="center" vertical="center"/>
    </xf>
    <xf numFmtId="166" fontId="2" fillId="0" borderId="10" xfId="1" applyNumberFormat="1" applyFont="1" applyFill="1" applyBorder="1" applyAlignment="1">
      <alignment horizontal="center"/>
    </xf>
    <xf numFmtId="166" fontId="2" fillId="0" borderId="11" xfId="1" applyNumberFormat="1" applyFont="1" applyFill="1" applyBorder="1" applyAlignment="1">
      <alignment horizontal="center"/>
    </xf>
    <xf numFmtId="3" fontId="43" fillId="36" borderId="1" xfId="1" applyNumberFormat="1" applyFont="1" applyFill="1" applyBorder="1" applyAlignment="1">
      <alignment horizontal="center" vertical="center"/>
    </xf>
    <xf numFmtId="166" fontId="2" fillId="2" borderId="3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166" fontId="2" fillId="2" borderId="5" xfId="1" applyNumberFormat="1" applyFont="1" applyFill="1" applyBorder="1" applyAlignment="1">
      <alignment horizontal="center"/>
    </xf>
    <xf numFmtId="166" fontId="43" fillId="0" borderId="3" xfId="1" applyNumberFormat="1" applyFont="1" applyFill="1" applyBorder="1" applyAlignment="1">
      <alignment horizontal="center" vertical="center"/>
    </xf>
    <xf numFmtId="166" fontId="43" fillId="0" borderId="4" xfId="1" applyNumberFormat="1" applyFont="1" applyFill="1" applyBorder="1" applyAlignment="1">
      <alignment horizontal="center" vertical="center"/>
    </xf>
    <xf numFmtId="166" fontId="43" fillId="0" borderId="5" xfId="1" applyNumberFormat="1" applyFont="1" applyFill="1" applyBorder="1" applyAlignment="1">
      <alignment horizontal="center" vertical="center"/>
    </xf>
    <xf numFmtId="166" fontId="2" fillId="29" borderId="1" xfId="1" applyNumberFormat="1" applyFont="1" applyFill="1" applyBorder="1" applyAlignment="1">
      <alignment horizontal="center" vertical="center"/>
    </xf>
    <xf numFmtId="166" fontId="4" fillId="29" borderId="2" xfId="1" applyNumberFormat="1" applyFont="1" applyFill="1" applyBorder="1" applyAlignment="1">
      <alignment horizontal="center" vertical="center"/>
    </xf>
    <xf numFmtId="166" fontId="2" fillId="0" borderId="3" xfId="1" applyNumberFormat="1" applyFont="1" applyFill="1" applyBorder="1" applyAlignment="1">
      <alignment horizontal="center" vertical="center"/>
    </xf>
    <xf numFmtId="166" fontId="2" fillId="0" borderId="4" xfId="1" applyNumberFormat="1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center"/>
    </xf>
    <xf numFmtId="0" fontId="5" fillId="0" borderId="9" xfId="3" applyFont="1" applyBorder="1" applyAlignment="1">
      <alignment vertical="center" wrapText="1"/>
    </xf>
    <xf numFmtId="0" fontId="0" fillId="0" borderId="0" xfId="0" applyAlignment="1">
      <alignment vertical="center" wrapText="1"/>
    </xf>
    <xf numFmtId="166" fontId="2" fillId="3" borderId="3" xfId="1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6" fontId="2" fillId="21" borderId="3" xfId="1" applyNumberFormat="1" applyFont="1" applyFill="1" applyBorder="1" applyAlignment="1">
      <alignment horizontal="center" vertical="center"/>
    </xf>
    <xf numFmtId="0" fontId="0" fillId="21" borderId="4" xfId="0" applyFill="1" applyBorder="1" applyAlignment="1">
      <alignment horizontal="center" vertical="center"/>
    </xf>
    <xf numFmtId="0" fontId="0" fillId="21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2" fillId="3" borderId="6" xfId="1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6" fontId="2" fillId="21" borderId="6" xfId="1" applyNumberFormat="1" applyFont="1" applyFill="1" applyBorder="1" applyAlignment="1">
      <alignment horizontal="center" vertical="center"/>
    </xf>
    <xf numFmtId="0" fontId="0" fillId="21" borderId="7" xfId="0" applyFill="1" applyBorder="1" applyAlignment="1">
      <alignment horizontal="center" vertical="center"/>
    </xf>
    <xf numFmtId="0" fontId="0" fillId="21" borderId="8" xfId="0" applyFill="1" applyBorder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3" borderId="6" xfId="1" applyNumberFormat="1" applyFon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2" fillId="21" borderId="6" xfId="1" applyNumberFormat="1" applyFont="1" applyFill="1" applyBorder="1" applyAlignment="1">
      <alignment horizontal="center" vertical="center"/>
    </xf>
    <xf numFmtId="3" fontId="0" fillId="21" borderId="7" xfId="0" applyNumberFormat="1" applyFill="1" applyBorder="1" applyAlignment="1">
      <alignment horizontal="center" vertical="center"/>
    </xf>
    <xf numFmtId="3" fontId="0" fillId="21" borderId="8" xfId="0" applyNumberForma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2" fillId="21" borderId="1" xfId="1" applyNumberFormat="1" applyFont="1" applyFill="1" applyBorder="1" applyAlignment="1">
      <alignment horizontal="center" vertical="center"/>
    </xf>
    <xf numFmtId="3" fontId="0" fillId="21" borderId="1" xfId="0" applyNumberForma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3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2" fillId="0" borderId="3" xfId="3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2" fillId="0" borderId="10" xfId="3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66" fontId="2" fillId="0" borderId="1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2" fillId="21" borderId="9" xfId="1" applyNumberFormat="1" applyFont="1" applyFill="1" applyBorder="1" applyAlignment="1">
      <alignment horizontal="center" vertical="center"/>
    </xf>
    <xf numFmtId="3" fontId="0" fillId="21" borderId="0" xfId="0" applyNumberFormat="1" applyFill="1" applyAlignment="1">
      <alignment horizontal="center" vertical="center"/>
    </xf>
    <xf numFmtId="3" fontId="0" fillId="21" borderId="13" xfId="0" applyNumberForma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166" fontId="2" fillId="0" borderId="10" xfId="1" applyNumberFormat="1" applyFont="1" applyFill="1" applyBorder="1" applyAlignment="1">
      <alignment horizontal="center" vertical="center"/>
    </xf>
    <xf numFmtId="166" fontId="2" fillId="0" borderId="12" xfId="1" applyNumberFormat="1" applyFont="1" applyFill="1" applyBorder="1" applyAlignment="1">
      <alignment horizontal="center" vertical="center"/>
    </xf>
    <xf numFmtId="166" fontId="2" fillId="0" borderId="11" xfId="1" applyNumberFormat="1" applyFont="1" applyFill="1" applyBorder="1" applyAlignment="1">
      <alignment horizontal="center" vertical="center"/>
    </xf>
    <xf numFmtId="166" fontId="43" fillId="0" borderId="1" xfId="1" applyNumberFormat="1" applyFont="1" applyBorder="1" applyAlignment="1">
      <alignment horizontal="center" vertical="center"/>
    </xf>
    <xf numFmtId="166" fontId="4" fillId="29" borderId="1" xfId="1" applyNumberFormat="1" applyFont="1" applyFill="1" applyBorder="1" applyAlignment="1">
      <alignment horizontal="center" vertical="center"/>
    </xf>
    <xf numFmtId="166" fontId="43" fillId="0" borderId="10" xfId="1" applyNumberFormat="1" applyFont="1" applyFill="1" applyBorder="1" applyAlignment="1">
      <alignment horizontal="center" vertical="center"/>
    </xf>
    <xf numFmtId="166" fontId="43" fillId="0" borderId="12" xfId="1" applyNumberFormat="1" applyFont="1" applyFill="1" applyBorder="1" applyAlignment="1">
      <alignment horizontal="center" vertical="center"/>
    </xf>
    <xf numFmtId="166" fontId="43" fillId="0" borderId="11" xfId="1" applyNumberFormat="1" applyFont="1" applyFill="1" applyBorder="1" applyAlignment="1">
      <alignment horizontal="center" vertical="center"/>
    </xf>
    <xf numFmtId="166" fontId="43" fillId="29" borderId="2" xfId="1" applyNumberFormat="1" applyFont="1" applyFill="1" applyBorder="1" applyAlignment="1">
      <alignment horizontal="center" vertical="center"/>
    </xf>
    <xf numFmtId="166" fontId="2" fillId="21" borderId="10" xfId="1" applyNumberFormat="1" applyFont="1" applyFill="1" applyBorder="1" applyAlignment="1">
      <alignment horizontal="center" vertical="center"/>
    </xf>
    <xf numFmtId="166" fontId="2" fillId="21" borderId="12" xfId="1" applyNumberFormat="1" applyFont="1" applyFill="1" applyBorder="1" applyAlignment="1">
      <alignment horizontal="center" vertical="center"/>
    </xf>
    <xf numFmtId="166" fontId="2" fillId="21" borderId="11" xfId="1" applyNumberFormat="1" applyFont="1" applyFill="1" applyBorder="1" applyAlignment="1">
      <alignment horizontal="center" vertical="center"/>
    </xf>
    <xf numFmtId="166" fontId="2" fillId="2" borderId="10" xfId="1" applyNumberFormat="1" applyFont="1" applyFill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166" fontId="2" fillId="2" borderId="11" xfId="1" applyNumberFormat="1" applyFont="1" applyFill="1" applyBorder="1" applyAlignment="1">
      <alignment horizontal="center"/>
    </xf>
  </cellXfs>
  <cellStyles count="24">
    <cellStyle name="Ezres" xfId="1" builtinId="3"/>
    <cellStyle name="Ezres 2" xfId="4" xr:uid="{00000000-0005-0000-0000-000001000000}"/>
    <cellStyle name="Ezres 2 2" xfId="9" xr:uid="{00000000-0005-0000-0000-000002000000}"/>
    <cellStyle name="Ezres 2 3" xfId="12" xr:uid="{00000000-0005-0000-0000-000003000000}"/>
    <cellStyle name="Ezres 3" xfId="10" xr:uid="{00000000-0005-0000-0000-000004000000}"/>
    <cellStyle name="Ezres 3 2" xfId="13" xr:uid="{00000000-0005-0000-0000-000005000000}"/>
    <cellStyle name="Ezres 3 2 2" xfId="20" xr:uid="{E3C27E5C-EB9A-40E9-B61F-437733C8414E}"/>
    <cellStyle name="Ezres 3 3" xfId="18" xr:uid="{D2017F6D-7121-4A74-9547-E4880123A88F}"/>
    <cellStyle name="Ezres 4" xfId="11" xr:uid="{00000000-0005-0000-0000-000006000000}"/>
    <cellStyle name="Ezres 4 2" xfId="19" xr:uid="{3AABA030-1865-4654-9523-195E53183C28}"/>
    <cellStyle name="Hivatkozás" xfId="22" builtinId="8"/>
    <cellStyle name="Normál" xfId="0" builtinId="0"/>
    <cellStyle name="Normál 10" xfId="2" xr:uid="{00000000-0005-0000-0000-000008000000}"/>
    <cellStyle name="Normál 10 2" xfId="15" xr:uid="{B0E20587-B255-4176-B410-B45E3283EE9D}"/>
    <cellStyle name="Normál 10_támogatások" xfId="16" xr:uid="{802EE3F2-1F16-4178-A179-16BB6139FDCD}"/>
    <cellStyle name="Normál 2" xfId="3" xr:uid="{00000000-0005-0000-0000-000009000000}"/>
    <cellStyle name="Normál 2 2" xfId="8" xr:uid="{00000000-0005-0000-0000-00000A000000}"/>
    <cellStyle name="Normál 2 2 2" xfId="17" xr:uid="{7D84D64D-F859-440D-AFCD-251DE78EA37D}"/>
    <cellStyle name="Normál 2 2_támogatások" xfId="21" xr:uid="{7514ACAE-515E-440C-ADCA-F0E88A89331C}"/>
    <cellStyle name="Normál_ELŐZETES TERVEK 2013 javított" xfId="6" xr:uid="{00000000-0005-0000-0000-00000B000000}"/>
    <cellStyle name="Normál_terv2005" xfId="7" xr:uid="{00000000-0005-0000-0000-00000C000000}"/>
    <cellStyle name="Pénznem" xfId="23" builtinId="4"/>
    <cellStyle name="Százalék" xfId="14" builtinId="5"/>
    <cellStyle name="Százalék 2" xfId="5" xr:uid="{00000000-0005-0000-0000-00000E000000}"/>
  </cellStyles>
  <dxfs count="0"/>
  <tableStyles count="0" defaultTableStyle="TableStyleMedium2" defaultPivotStyle="PivotStyleLight16"/>
  <colors>
    <mruColors>
      <color rgb="FFDDFFE3"/>
      <color rgb="FFFB7E71"/>
      <color rgb="FFCCECFF"/>
      <color rgb="FFE1F4FF"/>
      <color rgb="FFFFFFEF"/>
      <color rgb="FFFFF3E5"/>
      <color rgb="FFF2FED6"/>
      <color rgb="FFFFFFCC"/>
      <color rgb="FFFFF2E1"/>
      <color rgb="FFFBCA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J86"/>
  <sheetViews>
    <sheetView zoomScaleNormal="100" workbookViewId="0">
      <pane xSplit="1" ySplit="1" topLeftCell="AF17" activePane="bottomRight" state="frozen"/>
      <selection activeCell="B85" sqref="B85"/>
      <selection pane="topRight" activeCell="B85" sqref="B85"/>
      <selection pane="bottomLeft" activeCell="B85" sqref="B85"/>
      <selection pane="bottomRight" activeCell="AK20" sqref="AK20:AK23"/>
    </sheetView>
  </sheetViews>
  <sheetFormatPr defaultRowHeight="15.75" x14ac:dyDescent="0.2"/>
  <cols>
    <col min="1" max="1" width="41.7109375" style="19" customWidth="1"/>
    <col min="2" max="2" width="13.7109375" style="19" customWidth="1"/>
    <col min="3" max="3" width="15" style="25" customWidth="1"/>
    <col min="4" max="4" width="14.5703125" style="25" customWidth="1"/>
    <col min="5" max="5" width="26.140625" style="25" customWidth="1"/>
    <col min="6" max="7" width="21.140625" style="25" customWidth="1"/>
    <col min="8" max="8" width="19.5703125" style="19" customWidth="1"/>
    <col min="9" max="9" width="20.140625" style="72" customWidth="1"/>
    <col min="10" max="10" width="24.42578125" style="72" customWidth="1"/>
    <col min="11" max="11" width="21" style="72" customWidth="1"/>
    <col min="12" max="12" width="16.28515625" style="72" customWidth="1"/>
    <col min="13" max="13" width="18.28515625" style="85" customWidth="1"/>
    <col min="14" max="14" width="17" style="19" customWidth="1"/>
    <col min="15" max="15" width="21" style="19" customWidth="1"/>
    <col min="16" max="16" width="29.42578125" style="19" customWidth="1"/>
    <col min="17" max="17" width="25.28515625" style="169" customWidth="1"/>
    <col min="18" max="18" width="17.42578125" style="19" customWidth="1"/>
    <col min="19" max="19" width="15.7109375" style="19" customWidth="1"/>
    <col min="20" max="20" width="16.28515625" style="19" customWidth="1"/>
    <col min="21" max="21" width="16.7109375" style="19" customWidth="1"/>
    <col min="22" max="22" width="18.42578125" style="72" customWidth="1"/>
    <col min="23" max="23" width="19.7109375" style="72" customWidth="1"/>
    <col min="24" max="24" width="17.85546875" style="19" customWidth="1"/>
    <col min="25" max="25" width="21.85546875" style="72" customWidth="1"/>
    <col min="26" max="26" width="19.7109375" style="72" customWidth="1"/>
    <col min="27" max="27" width="21.42578125" style="72" customWidth="1"/>
    <col min="28" max="28" width="22" style="72" customWidth="1"/>
    <col min="29" max="29" width="20.7109375" style="74" customWidth="1"/>
    <col min="30" max="30" width="22.42578125" style="74" customWidth="1"/>
    <col min="31" max="31" width="18.85546875" style="19" customWidth="1"/>
    <col min="32" max="32" width="20.140625" style="72" customWidth="1"/>
    <col min="33" max="34" width="23.85546875" style="19" customWidth="1"/>
    <col min="35" max="35" width="22.28515625" style="712" customWidth="1"/>
    <col min="36" max="36" width="24" style="751" customWidth="1"/>
    <col min="37" max="37" width="25.5703125" style="169" customWidth="1"/>
    <col min="38" max="38" width="9.140625" style="19"/>
    <col min="39" max="39" width="28" style="19" customWidth="1"/>
    <col min="40" max="257" width="9.140625" style="19"/>
    <col min="258" max="258" width="41.7109375" style="19" customWidth="1"/>
    <col min="259" max="261" width="0" style="19" hidden="1" customWidth="1"/>
    <col min="262" max="262" width="26.140625" style="19" bestFit="1" customWidth="1"/>
    <col min="263" max="264" width="21.140625" style="19" customWidth="1"/>
    <col min="265" max="265" width="19.5703125" style="19" customWidth="1"/>
    <col min="266" max="266" width="13.7109375" style="19" bestFit="1" customWidth="1"/>
    <col min="267" max="513" width="9.140625" style="19"/>
    <col min="514" max="514" width="41.7109375" style="19" customWidth="1"/>
    <col min="515" max="517" width="0" style="19" hidden="1" customWidth="1"/>
    <col min="518" max="518" width="26.140625" style="19" bestFit="1" customWidth="1"/>
    <col min="519" max="520" width="21.140625" style="19" customWidth="1"/>
    <col min="521" max="521" width="19.5703125" style="19" customWidth="1"/>
    <col min="522" max="522" width="13.7109375" style="19" bestFit="1" customWidth="1"/>
    <col min="523" max="769" width="9.140625" style="19"/>
    <col min="770" max="770" width="41.7109375" style="19" customWidth="1"/>
    <col min="771" max="773" width="0" style="19" hidden="1" customWidth="1"/>
    <col min="774" max="774" width="26.140625" style="19" bestFit="1" customWidth="1"/>
    <col min="775" max="776" width="21.140625" style="19" customWidth="1"/>
    <col min="777" max="777" width="19.5703125" style="19" customWidth="1"/>
    <col min="778" max="778" width="13.7109375" style="19" bestFit="1" customWidth="1"/>
    <col min="779" max="1025" width="9.140625" style="19"/>
    <col min="1026" max="1026" width="41.7109375" style="19" customWidth="1"/>
    <col min="1027" max="1029" width="0" style="19" hidden="1" customWidth="1"/>
    <col min="1030" max="1030" width="26.140625" style="19" bestFit="1" customWidth="1"/>
    <col min="1031" max="1032" width="21.140625" style="19" customWidth="1"/>
    <col min="1033" max="1033" width="19.5703125" style="19" customWidth="1"/>
    <col min="1034" max="1034" width="13.7109375" style="19" bestFit="1" customWidth="1"/>
    <col min="1035" max="1281" width="9.140625" style="19"/>
    <col min="1282" max="1282" width="41.7109375" style="19" customWidth="1"/>
    <col min="1283" max="1285" width="0" style="19" hidden="1" customWidth="1"/>
    <col min="1286" max="1286" width="26.140625" style="19" bestFit="1" customWidth="1"/>
    <col min="1287" max="1288" width="21.140625" style="19" customWidth="1"/>
    <col min="1289" max="1289" width="19.5703125" style="19" customWidth="1"/>
    <col min="1290" max="1290" width="13.7109375" style="19" bestFit="1" customWidth="1"/>
    <col min="1291" max="1537" width="9.140625" style="19"/>
    <col min="1538" max="1538" width="41.7109375" style="19" customWidth="1"/>
    <col min="1539" max="1541" width="0" style="19" hidden="1" customWidth="1"/>
    <col min="1542" max="1542" width="26.140625" style="19" bestFit="1" customWidth="1"/>
    <col min="1543" max="1544" width="21.140625" style="19" customWidth="1"/>
    <col min="1545" max="1545" width="19.5703125" style="19" customWidth="1"/>
    <col min="1546" max="1546" width="13.7109375" style="19" bestFit="1" customWidth="1"/>
    <col min="1547" max="1793" width="9.140625" style="19"/>
    <col min="1794" max="1794" width="41.7109375" style="19" customWidth="1"/>
    <col min="1795" max="1797" width="0" style="19" hidden="1" customWidth="1"/>
    <col min="1798" max="1798" width="26.140625" style="19" bestFit="1" customWidth="1"/>
    <col min="1799" max="1800" width="21.140625" style="19" customWidth="1"/>
    <col min="1801" max="1801" width="19.5703125" style="19" customWidth="1"/>
    <col min="1802" max="1802" width="13.7109375" style="19" bestFit="1" customWidth="1"/>
    <col min="1803" max="2049" width="9.140625" style="19"/>
    <col min="2050" max="2050" width="41.7109375" style="19" customWidth="1"/>
    <col min="2051" max="2053" width="0" style="19" hidden="1" customWidth="1"/>
    <col min="2054" max="2054" width="26.140625" style="19" bestFit="1" customWidth="1"/>
    <col min="2055" max="2056" width="21.140625" style="19" customWidth="1"/>
    <col min="2057" max="2057" width="19.5703125" style="19" customWidth="1"/>
    <col min="2058" max="2058" width="13.7109375" style="19" bestFit="1" customWidth="1"/>
    <col min="2059" max="2305" width="9.140625" style="19"/>
    <col min="2306" max="2306" width="41.7109375" style="19" customWidth="1"/>
    <col min="2307" max="2309" width="0" style="19" hidden="1" customWidth="1"/>
    <col min="2310" max="2310" width="26.140625" style="19" bestFit="1" customWidth="1"/>
    <col min="2311" max="2312" width="21.140625" style="19" customWidth="1"/>
    <col min="2313" max="2313" width="19.5703125" style="19" customWidth="1"/>
    <col min="2314" max="2314" width="13.7109375" style="19" bestFit="1" customWidth="1"/>
    <col min="2315" max="2561" width="9.140625" style="19"/>
    <col min="2562" max="2562" width="41.7109375" style="19" customWidth="1"/>
    <col min="2563" max="2565" width="0" style="19" hidden="1" customWidth="1"/>
    <col min="2566" max="2566" width="26.140625" style="19" bestFit="1" customWidth="1"/>
    <col min="2567" max="2568" width="21.140625" style="19" customWidth="1"/>
    <col min="2569" max="2569" width="19.5703125" style="19" customWidth="1"/>
    <col min="2570" max="2570" width="13.7109375" style="19" bestFit="1" customWidth="1"/>
    <col min="2571" max="2817" width="9.140625" style="19"/>
    <col min="2818" max="2818" width="41.7109375" style="19" customWidth="1"/>
    <col min="2819" max="2821" width="0" style="19" hidden="1" customWidth="1"/>
    <col min="2822" max="2822" width="26.140625" style="19" bestFit="1" customWidth="1"/>
    <col min="2823" max="2824" width="21.140625" style="19" customWidth="1"/>
    <col min="2825" max="2825" width="19.5703125" style="19" customWidth="1"/>
    <col min="2826" max="2826" width="13.7109375" style="19" bestFit="1" customWidth="1"/>
    <col min="2827" max="3073" width="9.140625" style="19"/>
    <col min="3074" max="3074" width="41.7109375" style="19" customWidth="1"/>
    <col min="3075" max="3077" width="0" style="19" hidden="1" customWidth="1"/>
    <col min="3078" max="3078" width="26.140625" style="19" bestFit="1" customWidth="1"/>
    <col min="3079" max="3080" width="21.140625" style="19" customWidth="1"/>
    <col min="3081" max="3081" width="19.5703125" style="19" customWidth="1"/>
    <col min="3082" max="3082" width="13.7109375" style="19" bestFit="1" customWidth="1"/>
    <col min="3083" max="3329" width="9.140625" style="19"/>
    <col min="3330" max="3330" width="41.7109375" style="19" customWidth="1"/>
    <col min="3331" max="3333" width="0" style="19" hidden="1" customWidth="1"/>
    <col min="3334" max="3334" width="26.140625" style="19" bestFit="1" customWidth="1"/>
    <col min="3335" max="3336" width="21.140625" style="19" customWidth="1"/>
    <col min="3337" max="3337" width="19.5703125" style="19" customWidth="1"/>
    <col min="3338" max="3338" width="13.7109375" style="19" bestFit="1" customWidth="1"/>
    <col min="3339" max="3585" width="9.140625" style="19"/>
    <col min="3586" max="3586" width="41.7109375" style="19" customWidth="1"/>
    <col min="3587" max="3589" width="0" style="19" hidden="1" customWidth="1"/>
    <col min="3590" max="3590" width="26.140625" style="19" bestFit="1" customWidth="1"/>
    <col min="3591" max="3592" width="21.140625" style="19" customWidth="1"/>
    <col min="3593" max="3593" width="19.5703125" style="19" customWidth="1"/>
    <col min="3594" max="3594" width="13.7109375" style="19" bestFit="1" customWidth="1"/>
    <col min="3595" max="3841" width="9.140625" style="19"/>
    <col min="3842" max="3842" width="41.7109375" style="19" customWidth="1"/>
    <col min="3843" max="3845" width="0" style="19" hidden="1" customWidth="1"/>
    <col min="3846" max="3846" width="26.140625" style="19" bestFit="1" customWidth="1"/>
    <col min="3847" max="3848" width="21.140625" style="19" customWidth="1"/>
    <col min="3849" max="3849" width="19.5703125" style="19" customWidth="1"/>
    <col min="3850" max="3850" width="13.7109375" style="19" bestFit="1" customWidth="1"/>
    <col min="3851" max="4097" width="9.140625" style="19"/>
    <col min="4098" max="4098" width="41.7109375" style="19" customWidth="1"/>
    <col min="4099" max="4101" width="0" style="19" hidden="1" customWidth="1"/>
    <col min="4102" max="4102" width="26.140625" style="19" bestFit="1" customWidth="1"/>
    <col min="4103" max="4104" width="21.140625" style="19" customWidth="1"/>
    <col min="4105" max="4105" width="19.5703125" style="19" customWidth="1"/>
    <col min="4106" max="4106" width="13.7109375" style="19" bestFit="1" customWidth="1"/>
    <col min="4107" max="4353" width="9.140625" style="19"/>
    <col min="4354" max="4354" width="41.7109375" style="19" customWidth="1"/>
    <col min="4355" max="4357" width="0" style="19" hidden="1" customWidth="1"/>
    <col min="4358" max="4358" width="26.140625" style="19" bestFit="1" customWidth="1"/>
    <col min="4359" max="4360" width="21.140625" style="19" customWidth="1"/>
    <col min="4361" max="4361" width="19.5703125" style="19" customWidth="1"/>
    <col min="4362" max="4362" width="13.7109375" style="19" bestFit="1" customWidth="1"/>
    <col min="4363" max="4609" width="9.140625" style="19"/>
    <col min="4610" max="4610" width="41.7109375" style="19" customWidth="1"/>
    <col min="4611" max="4613" width="0" style="19" hidden="1" customWidth="1"/>
    <col min="4614" max="4614" width="26.140625" style="19" bestFit="1" customWidth="1"/>
    <col min="4615" max="4616" width="21.140625" style="19" customWidth="1"/>
    <col min="4617" max="4617" width="19.5703125" style="19" customWidth="1"/>
    <col min="4618" max="4618" width="13.7109375" style="19" bestFit="1" customWidth="1"/>
    <col min="4619" max="4865" width="9.140625" style="19"/>
    <col min="4866" max="4866" width="41.7109375" style="19" customWidth="1"/>
    <col min="4867" max="4869" width="0" style="19" hidden="1" customWidth="1"/>
    <col min="4870" max="4870" width="26.140625" style="19" bestFit="1" customWidth="1"/>
    <col min="4871" max="4872" width="21.140625" style="19" customWidth="1"/>
    <col min="4873" max="4873" width="19.5703125" style="19" customWidth="1"/>
    <col min="4874" max="4874" width="13.7109375" style="19" bestFit="1" customWidth="1"/>
    <col min="4875" max="5121" width="9.140625" style="19"/>
    <col min="5122" max="5122" width="41.7109375" style="19" customWidth="1"/>
    <col min="5123" max="5125" width="0" style="19" hidden="1" customWidth="1"/>
    <col min="5126" max="5126" width="26.140625" style="19" bestFit="1" customWidth="1"/>
    <col min="5127" max="5128" width="21.140625" style="19" customWidth="1"/>
    <col min="5129" max="5129" width="19.5703125" style="19" customWidth="1"/>
    <col min="5130" max="5130" width="13.7109375" style="19" bestFit="1" customWidth="1"/>
    <col min="5131" max="5377" width="9.140625" style="19"/>
    <col min="5378" max="5378" width="41.7109375" style="19" customWidth="1"/>
    <col min="5379" max="5381" width="0" style="19" hidden="1" customWidth="1"/>
    <col min="5382" max="5382" width="26.140625" style="19" bestFit="1" customWidth="1"/>
    <col min="5383" max="5384" width="21.140625" style="19" customWidth="1"/>
    <col min="5385" max="5385" width="19.5703125" style="19" customWidth="1"/>
    <col min="5386" max="5386" width="13.7109375" style="19" bestFit="1" customWidth="1"/>
    <col min="5387" max="5633" width="9.140625" style="19"/>
    <col min="5634" max="5634" width="41.7109375" style="19" customWidth="1"/>
    <col min="5635" max="5637" width="0" style="19" hidden="1" customWidth="1"/>
    <col min="5638" max="5638" width="26.140625" style="19" bestFit="1" customWidth="1"/>
    <col min="5639" max="5640" width="21.140625" style="19" customWidth="1"/>
    <col min="5641" max="5641" width="19.5703125" style="19" customWidth="1"/>
    <col min="5642" max="5642" width="13.7109375" style="19" bestFit="1" customWidth="1"/>
    <col min="5643" max="5889" width="9.140625" style="19"/>
    <col min="5890" max="5890" width="41.7109375" style="19" customWidth="1"/>
    <col min="5891" max="5893" width="0" style="19" hidden="1" customWidth="1"/>
    <col min="5894" max="5894" width="26.140625" style="19" bestFit="1" customWidth="1"/>
    <col min="5895" max="5896" width="21.140625" style="19" customWidth="1"/>
    <col min="5897" max="5897" width="19.5703125" style="19" customWidth="1"/>
    <col min="5898" max="5898" width="13.7109375" style="19" bestFit="1" customWidth="1"/>
    <col min="5899" max="6145" width="9.140625" style="19"/>
    <col min="6146" max="6146" width="41.7109375" style="19" customWidth="1"/>
    <col min="6147" max="6149" width="0" style="19" hidden="1" customWidth="1"/>
    <col min="6150" max="6150" width="26.140625" style="19" bestFit="1" customWidth="1"/>
    <col min="6151" max="6152" width="21.140625" style="19" customWidth="1"/>
    <col min="6153" max="6153" width="19.5703125" style="19" customWidth="1"/>
    <col min="6154" max="6154" width="13.7109375" style="19" bestFit="1" customWidth="1"/>
    <col min="6155" max="6401" width="9.140625" style="19"/>
    <col min="6402" max="6402" width="41.7109375" style="19" customWidth="1"/>
    <col min="6403" max="6405" width="0" style="19" hidden="1" customWidth="1"/>
    <col min="6406" max="6406" width="26.140625" style="19" bestFit="1" customWidth="1"/>
    <col min="6407" max="6408" width="21.140625" style="19" customWidth="1"/>
    <col min="6409" max="6409" width="19.5703125" style="19" customWidth="1"/>
    <col min="6410" max="6410" width="13.7109375" style="19" bestFit="1" customWidth="1"/>
    <col min="6411" max="6657" width="9.140625" style="19"/>
    <col min="6658" max="6658" width="41.7109375" style="19" customWidth="1"/>
    <col min="6659" max="6661" width="0" style="19" hidden="1" customWidth="1"/>
    <col min="6662" max="6662" width="26.140625" style="19" bestFit="1" customWidth="1"/>
    <col min="6663" max="6664" width="21.140625" style="19" customWidth="1"/>
    <col min="6665" max="6665" width="19.5703125" style="19" customWidth="1"/>
    <col min="6666" max="6666" width="13.7109375" style="19" bestFit="1" customWidth="1"/>
    <col min="6667" max="6913" width="9.140625" style="19"/>
    <col min="6914" max="6914" width="41.7109375" style="19" customWidth="1"/>
    <col min="6915" max="6917" width="0" style="19" hidden="1" customWidth="1"/>
    <col min="6918" max="6918" width="26.140625" style="19" bestFit="1" customWidth="1"/>
    <col min="6919" max="6920" width="21.140625" style="19" customWidth="1"/>
    <col min="6921" max="6921" width="19.5703125" style="19" customWidth="1"/>
    <col min="6922" max="6922" width="13.7109375" style="19" bestFit="1" customWidth="1"/>
    <col min="6923" max="7169" width="9.140625" style="19"/>
    <col min="7170" max="7170" width="41.7109375" style="19" customWidth="1"/>
    <col min="7171" max="7173" width="0" style="19" hidden="1" customWidth="1"/>
    <col min="7174" max="7174" width="26.140625" style="19" bestFit="1" customWidth="1"/>
    <col min="7175" max="7176" width="21.140625" style="19" customWidth="1"/>
    <col min="7177" max="7177" width="19.5703125" style="19" customWidth="1"/>
    <col min="7178" max="7178" width="13.7109375" style="19" bestFit="1" customWidth="1"/>
    <col min="7179" max="7425" width="9.140625" style="19"/>
    <col min="7426" max="7426" width="41.7109375" style="19" customWidth="1"/>
    <col min="7427" max="7429" width="0" style="19" hidden="1" customWidth="1"/>
    <col min="7430" max="7430" width="26.140625" style="19" bestFit="1" customWidth="1"/>
    <col min="7431" max="7432" width="21.140625" style="19" customWidth="1"/>
    <col min="7433" max="7433" width="19.5703125" style="19" customWidth="1"/>
    <col min="7434" max="7434" width="13.7109375" style="19" bestFit="1" customWidth="1"/>
    <col min="7435" max="7681" width="9.140625" style="19"/>
    <col min="7682" max="7682" width="41.7109375" style="19" customWidth="1"/>
    <col min="7683" max="7685" width="0" style="19" hidden="1" customWidth="1"/>
    <col min="7686" max="7686" width="26.140625" style="19" bestFit="1" customWidth="1"/>
    <col min="7687" max="7688" width="21.140625" style="19" customWidth="1"/>
    <col min="7689" max="7689" width="19.5703125" style="19" customWidth="1"/>
    <col min="7690" max="7690" width="13.7109375" style="19" bestFit="1" customWidth="1"/>
    <col min="7691" max="7937" width="9.140625" style="19"/>
    <col min="7938" max="7938" width="41.7109375" style="19" customWidth="1"/>
    <col min="7939" max="7941" width="0" style="19" hidden="1" customWidth="1"/>
    <col min="7942" max="7942" width="26.140625" style="19" bestFit="1" customWidth="1"/>
    <col min="7943" max="7944" width="21.140625" style="19" customWidth="1"/>
    <col min="7945" max="7945" width="19.5703125" style="19" customWidth="1"/>
    <col min="7946" max="7946" width="13.7109375" style="19" bestFit="1" customWidth="1"/>
    <col min="7947" max="8193" width="9.140625" style="19"/>
    <col min="8194" max="8194" width="41.7109375" style="19" customWidth="1"/>
    <col min="8195" max="8197" width="0" style="19" hidden="1" customWidth="1"/>
    <col min="8198" max="8198" width="26.140625" style="19" bestFit="1" customWidth="1"/>
    <col min="8199" max="8200" width="21.140625" style="19" customWidth="1"/>
    <col min="8201" max="8201" width="19.5703125" style="19" customWidth="1"/>
    <col min="8202" max="8202" width="13.7109375" style="19" bestFit="1" customWidth="1"/>
    <col min="8203" max="8449" width="9.140625" style="19"/>
    <col min="8450" max="8450" width="41.7109375" style="19" customWidth="1"/>
    <col min="8451" max="8453" width="0" style="19" hidden="1" customWidth="1"/>
    <col min="8454" max="8454" width="26.140625" style="19" bestFit="1" customWidth="1"/>
    <col min="8455" max="8456" width="21.140625" style="19" customWidth="1"/>
    <col min="8457" max="8457" width="19.5703125" style="19" customWidth="1"/>
    <col min="8458" max="8458" width="13.7109375" style="19" bestFit="1" customWidth="1"/>
    <col min="8459" max="8705" width="9.140625" style="19"/>
    <col min="8706" max="8706" width="41.7109375" style="19" customWidth="1"/>
    <col min="8707" max="8709" width="0" style="19" hidden="1" customWidth="1"/>
    <col min="8710" max="8710" width="26.140625" style="19" bestFit="1" customWidth="1"/>
    <col min="8711" max="8712" width="21.140625" style="19" customWidth="1"/>
    <col min="8713" max="8713" width="19.5703125" style="19" customWidth="1"/>
    <col min="8714" max="8714" width="13.7109375" style="19" bestFit="1" customWidth="1"/>
    <col min="8715" max="8961" width="9.140625" style="19"/>
    <col min="8962" max="8962" width="41.7109375" style="19" customWidth="1"/>
    <col min="8963" max="8965" width="0" style="19" hidden="1" customWidth="1"/>
    <col min="8966" max="8966" width="26.140625" style="19" bestFit="1" customWidth="1"/>
    <col min="8967" max="8968" width="21.140625" style="19" customWidth="1"/>
    <col min="8969" max="8969" width="19.5703125" style="19" customWidth="1"/>
    <col min="8970" max="8970" width="13.7109375" style="19" bestFit="1" customWidth="1"/>
    <col min="8971" max="9217" width="9.140625" style="19"/>
    <col min="9218" max="9218" width="41.7109375" style="19" customWidth="1"/>
    <col min="9219" max="9221" width="0" style="19" hidden="1" customWidth="1"/>
    <col min="9222" max="9222" width="26.140625" style="19" bestFit="1" customWidth="1"/>
    <col min="9223" max="9224" width="21.140625" style="19" customWidth="1"/>
    <col min="9225" max="9225" width="19.5703125" style="19" customWidth="1"/>
    <col min="9226" max="9226" width="13.7109375" style="19" bestFit="1" customWidth="1"/>
    <col min="9227" max="9473" width="9.140625" style="19"/>
    <col min="9474" max="9474" width="41.7109375" style="19" customWidth="1"/>
    <col min="9475" max="9477" width="0" style="19" hidden="1" customWidth="1"/>
    <col min="9478" max="9478" width="26.140625" style="19" bestFit="1" customWidth="1"/>
    <col min="9479" max="9480" width="21.140625" style="19" customWidth="1"/>
    <col min="9481" max="9481" width="19.5703125" style="19" customWidth="1"/>
    <col min="9482" max="9482" width="13.7109375" style="19" bestFit="1" customWidth="1"/>
    <col min="9483" max="9729" width="9.140625" style="19"/>
    <col min="9730" max="9730" width="41.7109375" style="19" customWidth="1"/>
    <col min="9731" max="9733" width="0" style="19" hidden="1" customWidth="1"/>
    <col min="9734" max="9734" width="26.140625" style="19" bestFit="1" customWidth="1"/>
    <col min="9735" max="9736" width="21.140625" style="19" customWidth="1"/>
    <col min="9737" max="9737" width="19.5703125" style="19" customWidth="1"/>
    <col min="9738" max="9738" width="13.7109375" style="19" bestFit="1" customWidth="1"/>
    <col min="9739" max="9985" width="9.140625" style="19"/>
    <col min="9986" max="9986" width="41.7109375" style="19" customWidth="1"/>
    <col min="9987" max="9989" width="0" style="19" hidden="1" customWidth="1"/>
    <col min="9990" max="9990" width="26.140625" style="19" bestFit="1" customWidth="1"/>
    <col min="9991" max="9992" width="21.140625" style="19" customWidth="1"/>
    <col min="9993" max="9993" width="19.5703125" style="19" customWidth="1"/>
    <col min="9994" max="9994" width="13.7109375" style="19" bestFit="1" customWidth="1"/>
    <col min="9995" max="10241" width="9.140625" style="19"/>
    <col min="10242" max="10242" width="41.7109375" style="19" customWidth="1"/>
    <col min="10243" max="10245" width="0" style="19" hidden="1" customWidth="1"/>
    <col min="10246" max="10246" width="26.140625" style="19" bestFit="1" customWidth="1"/>
    <col min="10247" max="10248" width="21.140625" style="19" customWidth="1"/>
    <col min="10249" max="10249" width="19.5703125" style="19" customWidth="1"/>
    <col min="10250" max="10250" width="13.7109375" style="19" bestFit="1" customWidth="1"/>
    <col min="10251" max="10497" width="9.140625" style="19"/>
    <col min="10498" max="10498" width="41.7109375" style="19" customWidth="1"/>
    <col min="10499" max="10501" width="0" style="19" hidden="1" customWidth="1"/>
    <col min="10502" max="10502" width="26.140625" style="19" bestFit="1" customWidth="1"/>
    <col min="10503" max="10504" width="21.140625" style="19" customWidth="1"/>
    <col min="10505" max="10505" width="19.5703125" style="19" customWidth="1"/>
    <col min="10506" max="10506" width="13.7109375" style="19" bestFit="1" customWidth="1"/>
    <col min="10507" max="10753" width="9.140625" style="19"/>
    <col min="10754" max="10754" width="41.7109375" style="19" customWidth="1"/>
    <col min="10755" max="10757" width="0" style="19" hidden="1" customWidth="1"/>
    <col min="10758" max="10758" width="26.140625" style="19" bestFit="1" customWidth="1"/>
    <col min="10759" max="10760" width="21.140625" style="19" customWidth="1"/>
    <col min="10761" max="10761" width="19.5703125" style="19" customWidth="1"/>
    <col min="10762" max="10762" width="13.7109375" style="19" bestFit="1" customWidth="1"/>
    <col min="10763" max="11009" width="9.140625" style="19"/>
    <col min="11010" max="11010" width="41.7109375" style="19" customWidth="1"/>
    <col min="11011" max="11013" width="0" style="19" hidden="1" customWidth="1"/>
    <col min="11014" max="11014" width="26.140625" style="19" bestFit="1" customWidth="1"/>
    <col min="11015" max="11016" width="21.140625" style="19" customWidth="1"/>
    <col min="11017" max="11017" width="19.5703125" style="19" customWidth="1"/>
    <col min="11018" max="11018" width="13.7109375" style="19" bestFit="1" customWidth="1"/>
    <col min="11019" max="11265" width="9.140625" style="19"/>
    <col min="11266" max="11266" width="41.7109375" style="19" customWidth="1"/>
    <col min="11267" max="11269" width="0" style="19" hidden="1" customWidth="1"/>
    <col min="11270" max="11270" width="26.140625" style="19" bestFit="1" customWidth="1"/>
    <col min="11271" max="11272" width="21.140625" style="19" customWidth="1"/>
    <col min="11273" max="11273" width="19.5703125" style="19" customWidth="1"/>
    <col min="11274" max="11274" width="13.7109375" style="19" bestFit="1" customWidth="1"/>
    <col min="11275" max="11521" width="9.140625" style="19"/>
    <col min="11522" max="11522" width="41.7109375" style="19" customWidth="1"/>
    <col min="11523" max="11525" width="0" style="19" hidden="1" customWidth="1"/>
    <col min="11526" max="11526" width="26.140625" style="19" bestFit="1" customWidth="1"/>
    <col min="11527" max="11528" width="21.140625" style="19" customWidth="1"/>
    <col min="11529" max="11529" width="19.5703125" style="19" customWidth="1"/>
    <col min="11530" max="11530" width="13.7109375" style="19" bestFit="1" customWidth="1"/>
    <col min="11531" max="11777" width="9.140625" style="19"/>
    <col min="11778" max="11778" width="41.7109375" style="19" customWidth="1"/>
    <col min="11779" max="11781" width="0" style="19" hidden="1" customWidth="1"/>
    <col min="11782" max="11782" width="26.140625" style="19" bestFit="1" customWidth="1"/>
    <col min="11783" max="11784" width="21.140625" style="19" customWidth="1"/>
    <col min="11785" max="11785" width="19.5703125" style="19" customWidth="1"/>
    <col min="11786" max="11786" width="13.7109375" style="19" bestFit="1" customWidth="1"/>
    <col min="11787" max="12033" width="9.140625" style="19"/>
    <col min="12034" max="12034" width="41.7109375" style="19" customWidth="1"/>
    <col min="12035" max="12037" width="0" style="19" hidden="1" customWidth="1"/>
    <col min="12038" max="12038" width="26.140625" style="19" bestFit="1" customWidth="1"/>
    <col min="12039" max="12040" width="21.140625" style="19" customWidth="1"/>
    <col min="12041" max="12041" width="19.5703125" style="19" customWidth="1"/>
    <col min="12042" max="12042" width="13.7109375" style="19" bestFit="1" customWidth="1"/>
    <col min="12043" max="12289" width="9.140625" style="19"/>
    <col min="12290" max="12290" width="41.7109375" style="19" customWidth="1"/>
    <col min="12291" max="12293" width="0" style="19" hidden="1" customWidth="1"/>
    <col min="12294" max="12294" width="26.140625" style="19" bestFit="1" customWidth="1"/>
    <col min="12295" max="12296" width="21.140625" style="19" customWidth="1"/>
    <col min="12297" max="12297" width="19.5703125" style="19" customWidth="1"/>
    <col min="12298" max="12298" width="13.7109375" style="19" bestFit="1" customWidth="1"/>
    <col min="12299" max="12545" width="9.140625" style="19"/>
    <col min="12546" max="12546" width="41.7109375" style="19" customWidth="1"/>
    <col min="12547" max="12549" width="0" style="19" hidden="1" customWidth="1"/>
    <col min="12550" max="12550" width="26.140625" style="19" bestFit="1" customWidth="1"/>
    <col min="12551" max="12552" width="21.140625" style="19" customWidth="1"/>
    <col min="12553" max="12553" width="19.5703125" style="19" customWidth="1"/>
    <col min="12554" max="12554" width="13.7109375" style="19" bestFit="1" customWidth="1"/>
    <col min="12555" max="12801" width="9.140625" style="19"/>
    <col min="12802" max="12802" width="41.7109375" style="19" customWidth="1"/>
    <col min="12803" max="12805" width="0" style="19" hidden="1" customWidth="1"/>
    <col min="12806" max="12806" width="26.140625" style="19" bestFit="1" customWidth="1"/>
    <col min="12807" max="12808" width="21.140625" style="19" customWidth="1"/>
    <col min="12809" max="12809" width="19.5703125" style="19" customWidth="1"/>
    <col min="12810" max="12810" width="13.7109375" style="19" bestFit="1" customWidth="1"/>
    <col min="12811" max="13057" width="9.140625" style="19"/>
    <col min="13058" max="13058" width="41.7109375" style="19" customWidth="1"/>
    <col min="13059" max="13061" width="0" style="19" hidden="1" customWidth="1"/>
    <col min="13062" max="13062" width="26.140625" style="19" bestFit="1" customWidth="1"/>
    <col min="13063" max="13064" width="21.140625" style="19" customWidth="1"/>
    <col min="13065" max="13065" width="19.5703125" style="19" customWidth="1"/>
    <col min="13066" max="13066" width="13.7109375" style="19" bestFit="1" customWidth="1"/>
    <col min="13067" max="13313" width="9.140625" style="19"/>
    <col min="13314" max="13314" width="41.7109375" style="19" customWidth="1"/>
    <col min="13315" max="13317" width="0" style="19" hidden="1" customWidth="1"/>
    <col min="13318" max="13318" width="26.140625" style="19" bestFit="1" customWidth="1"/>
    <col min="13319" max="13320" width="21.140625" style="19" customWidth="1"/>
    <col min="13321" max="13321" width="19.5703125" style="19" customWidth="1"/>
    <col min="13322" max="13322" width="13.7109375" style="19" bestFit="1" customWidth="1"/>
    <col min="13323" max="13569" width="9.140625" style="19"/>
    <col min="13570" max="13570" width="41.7109375" style="19" customWidth="1"/>
    <col min="13571" max="13573" width="0" style="19" hidden="1" customWidth="1"/>
    <col min="13574" max="13574" width="26.140625" style="19" bestFit="1" customWidth="1"/>
    <col min="13575" max="13576" width="21.140625" style="19" customWidth="1"/>
    <col min="13577" max="13577" width="19.5703125" style="19" customWidth="1"/>
    <col min="13578" max="13578" width="13.7109375" style="19" bestFit="1" customWidth="1"/>
    <col min="13579" max="13825" width="9.140625" style="19"/>
    <col min="13826" max="13826" width="41.7109375" style="19" customWidth="1"/>
    <col min="13827" max="13829" width="0" style="19" hidden="1" customWidth="1"/>
    <col min="13830" max="13830" width="26.140625" style="19" bestFit="1" customWidth="1"/>
    <col min="13831" max="13832" width="21.140625" style="19" customWidth="1"/>
    <col min="13833" max="13833" width="19.5703125" style="19" customWidth="1"/>
    <col min="13834" max="13834" width="13.7109375" style="19" bestFit="1" customWidth="1"/>
    <col min="13835" max="14081" width="9.140625" style="19"/>
    <col min="14082" max="14082" width="41.7109375" style="19" customWidth="1"/>
    <col min="14083" max="14085" width="0" style="19" hidden="1" customWidth="1"/>
    <col min="14086" max="14086" width="26.140625" style="19" bestFit="1" customWidth="1"/>
    <col min="14087" max="14088" width="21.140625" style="19" customWidth="1"/>
    <col min="14089" max="14089" width="19.5703125" style="19" customWidth="1"/>
    <col min="14090" max="14090" width="13.7109375" style="19" bestFit="1" customWidth="1"/>
    <col min="14091" max="14337" width="9.140625" style="19"/>
    <col min="14338" max="14338" width="41.7109375" style="19" customWidth="1"/>
    <col min="14339" max="14341" width="0" style="19" hidden="1" customWidth="1"/>
    <col min="14342" max="14342" width="26.140625" style="19" bestFit="1" customWidth="1"/>
    <col min="14343" max="14344" width="21.140625" style="19" customWidth="1"/>
    <col min="14345" max="14345" width="19.5703125" style="19" customWidth="1"/>
    <col min="14346" max="14346" width="13.7109375" style="19" bestFit="1" customWidth="1"/>
    <col min="14347" max="14593" width="9.140625" style="19"/>
    <col min="14594" max="14594" width="41.7109375" style="19" customWidth="1"/>
    <col min="14595" max="14597" width="0" style="19" hidden="1" customWidth="1"/>
    <col min="14598" max="14598" width="26.140625" style="19" bestFit="1" customWidth="1"/>
    <col min="14599" max="14600" width="21.140625" style="19" customWidth="1"/>
    <col min="14601" max="14601" width="19.5703125" style="19" customWidth="1"/>
    <col min="14602" max="14602" width="13.7109375" style="19" bestFit="1" customWidth="1"/>
    <col min="14603" max="14849" width="9.140625" style="19"/>
    <col min="14850" max="14850" width="41.7109375" style="19" customWidth="1"/>
    <col min="14851" max="14853" width="0" style="19" hidden="1" customWidth="1"/>
    <col min="14854" max="14854" width="26.140625" style="19" bestFit="1" customWidth="1"/>
    <col min="14855" max="14856" width="21.140625" style="19" customWidth="1"/>
    <col min="14857" max="14857" width="19.5703125" style="19" customWidth="1"/>
    <col min="14858" max="14858" width="13.7109375" style="19" bestFit="1" customWidth="1"/>
    <col min="14859" max="15105" width="9.140625" style="19"/>
    <col min="15106" max="15106" width="41.7109375" style="19" customWidth="1"/>
    <col min="15107" max="15109" width="0" style="19" hidden="1" customWidth="1"/>
    <col min="15110" max="15110" width="26.140625" style="19" bestFit="1" customWidth="1"/>
    <col min="15111" max="15112" width="21.140625" style="19" customWidth="1"/>
    <col min="15113" max="15113" width="19.5703125" style="19" customWidth="1"/>
    <col min="15114" max="15114" width="13.7109375" style="19" bestFit="1" customWidth="1"/>
    <col min="15115" max="15361" width="9.140625" style="19"/>
    <col min="15362" max="15362" width="41.7109375" style="19" customWidth="1"/>
    <col min="15363" max="15365" width="0" style="19" hidden="1" customWidth="1"/>
    <col min="15366" max="15366" width="26.140625" style="19" bestFit="1" customWidth="1"/>
    <col min="15367" max="15368" width="21.140625" style="19" customWidth="1"/>
    <col min="15369" max="15369" width="19.5703125" style="19" customWidth="1"/>
    <col min="15370" max="15370" width="13.7109375" style="19" bestFit="1" customWidth="1"/>
    <col min="15371" max="15617" width="9.140625" style="19"/>
    <col min="15618" max="15618" width="41.7109375" style="19" customWidth="1"/>
    <col min="15619" max="15621" width="0" style="19" hidden="1" customWidth="1"/>
    <col min="15622" max="15622" width="26.140625" style="19" bestFit="1" customWidth="1"/>
    <col min="15623" max="15624" width="21.140625" style="19" customWidth="1"/>
    <col min="15625" max="15625" width="19.5703125" style="19" customWidth="1"/>
    <col min="15626" max="15626" width="13.7109375" style="19" bestFit="1" customWidth="1"/>
    <col min="15627" max="15873" width="9.140625" style="19"/>
    <col min="15874" max="15874" width="41.7109375" style="19" customWidth="1"/>
    <col min="15875" max="15877" width="0" style="19" hidden="1" customWidth="1"/>
    <col min="15878" max="15878" width="26.140625" style="19" bestFit="1" customWidth="1"/>
    <col min="15879" max="15880" width="21.140625" style="19" customWidth="1"/>
    <col min="15881" max="15881" width="19.5703125" style="19" customWidth="1"/>
    <col min="15882" max="15882" width="13.7109375" style="19" bestFit="1" customWidth="1"/>
    <col min="15883" max="16129" width="9.140625" style="19"/>
    <col min="16130" max="16130" width="41.7109375" style="19" customWidth="1"/>
    <col min="16131" max="16133" width="0" style="19" hidden="1" customWidth="1"/>
    <col min="16134" max="16134" width="26.140625" style="19" bestFit="1" customWidth="1"/>
    <col min="16135" max="16136" width="21.140625" style="19" customWidth="1"/>
    <col min="16137" max="16137" width="19.5703125" style="19" customWidth="1"/>
    <col min="16138" max="16138" width="13.7109375" style="19" bestFit="1" customWidth="1"/>
    <col min="16139" max="16384" width="9.140625" style="19"/>
  </cols>
  <sheetData>
    <row r="1" spans="1:62" ht="42.75" x14ac:dyDescent="0.25">
      <c r="A1" s="9" t="s">
        <v>75</v>
      </c>
      <c r="B1" s="18" t="s">
        <v>639</v>
      </c>
      <c r="C1" s="17" t="s">
        <v>76</v>
      </c>
      <c r="D1" s="16" t="s">
        <v>77</v>
      </c>
      <c r="E1" s="16" t="s">
        <v>78</v>
      </c>
      <c r="F1" s="16" t="s">
        <v>79</v>
      </c>
      <c r="G1" s="16" t="s">
        <v>2</v>
      </c>
      <c r="H1" s="9" t="s">
        <v>206</v>
      </c>
      <c r="I1" s="75" t="s">
        <v>324</v>
      </c>
      <c r="J1" s="75" t="s">
        <v>325</v>
      </c>
      <c r="K1" s="75" t="s">
        <v>343</v>
      </c>
      <c r="L1" s="208" t="s">
        <v>346</v>
      </c>
      <c r="M1" s="93" t="s">
        <v>346</v>
      </c>
      <c r="N1" s="93" t="s">
        <v>388</v>
      </c>
      <c r="O1" s="93" t="s">
        <v>378</v>
      </c>
      <c r="P1" s="93" t="s">
        <v>390</v>
      </c>
      <c r="Q1" s="165" t="s">
        <v>425</v>
      </c>
      <c r="R1" s="93" t="s">
        <v>438</v>
      </c>
      <c r="S1" s="244" t="s">
        <v>439</v>
      </c>
      <c r="T1" s="205" t="s">
        <v>471</v>
      </c>
      <c r="U1" s="243" t="s">
        <v>480</v>
      </c>
      <c r="V1" s="268" t="s">
        <v>521</v>
      </c>
      <c r="W1" s="327" t="s">
        <v>534</v>
      </c>
      <c r="X1" s="518" t="s">
        <v>572</v>
      </c>
      <c r="Y1" s="525" t="s">
        <v>605</v>
      </c>
      <c r="Z1" s="74" t="s">
        <v>582</v>
      </c>
      <c r="AA1" s="541" t="s">
        <v>619</v>
      </c>
      <c r="AB1" s="548" t="s">
        <v>637</v>
      </c>
      <c r="AC1" s="74" t="s">
        <v>638</v>
      </c>
      <c r="AD1" s="74" t="s">
        <v>640</v>
      </c>
      <c r="AF1" s="573" t="s">
        <v>642</v>
      </c>
      <c r="AG1" s="743" t="s">
        <v>652</v>
      </c>
      <c r="AH1" s="743" t="s">
        <v>652</v>
      </c>
      <c r="AI1" s="744" t="s">
        <v>730</v>
      </c>
      <c r="AJ1" s="777" t="s">
        <v>747</v>
      </c>
      <c r="AK1" s="780" t="s">
        <v>766</v>
      </c>
    </row>
    <row r="2" spans="1:62" s="482" customFormat="1" ht="24" x14ac:dyDescent="0.2">
      <c r="A2" s="478" t="s">
        <v>80</v>
      </c>
      <c r="B2" s="479">
        <f>6+(2515-2000)/(3000-2000)*(8-6)</f>
        <v>7.03</v>
      </c>
      <c r="C2" s="480">
        <v>4580000</v>
      </c>
      <c r="D2" s="480">
        <f>B2*C2</f>
        <v>32197400</v>
      </c>
      <c r="E2" s="480">
        <v>32289000</v>
      </c>
      <c r="F2" s="480">
        <v>32747000</v>
      </c>
      <c r="G2" s="480">
        <v>33113400</v>
      </c>
      <c r="H2" s="481">
        <v>33617200</v>
      </c>
      <c r="I2" s="266">
        <f>H2+40626</f>
        <v>33657826</v>
      </c>
      <c r="J2" s="945">
        <v>54530707</v>
      </c>
      <c r="K2" s="945">
        <v>60266505</v>
      </c>
      <c r="L2" s="266">
        <f>34304200</f>
        <v>34304200</v>
      </c>
      <c r="M2" s="953">
        <f>SUM(L2:L11)</f>
        <v>69100012</v>
      </c>
      <c r="N2" s="945">
        <v>66002303</v>
      </c>
      <c r="O2" s="945">
        <v>71738105</v>
      </c>
      <c r="P2" s="953">
        <f>M2</f>
        <v>69100012</v>
      </c>
      <c r="Q2" s="964">
        <f>146544+SUM(P2:P11)</f>
        <v>69246556</v>
      </c>
      <c r="R2" s="964">
        <f>ÖNKORMÁNYZAT!AB2</f>
        <v>36105001</v>
      </c>
      <c r="S2" s="986">
        <f>ÖNKORMÁNYZAT!AC2</f>
        <v>48177720</v>
      </c>
      <c r="T2" s="962">
        <f>ÖNKORMÁNYZAT!AD2</f>
        <v>53722614</v>
      </c>
      <c r="U2" s="962">
        <f>ÖNKORMÁNYZAT!AG2</f>
        <v>59267508</v>
      </c>
      <c r="V2" s="266">
        <f>5450000*7.49</f>
        <v>40820500</v>
      </c>
      <c r="W2" s="266">
        <v>34304200</v>
      </c>
      <c r="X2" s="519">
        <v>42212250</v>
      </c>
      <c r="Y2" s="266">
        <v>41202000</v>
      </c>
      <c r="Z2" s="266"/>
      <c r="AA2" s="940">
        <f>106823894+3610011</f>
        <v>110433905</v>
      </c>
      <c r="AB2" s="519"/>
      <c r="AC2" s="266">
        <v>42919855</v>
      </c>
      <c r="AD2" s="550"/>
      <c r="AE2" s="551"/>
      <c r="AF2" s="939">
        <v>106823894</v>
      </c>
      <c r="AG2" s="935">
        <v>114630691</v>
      </c>
      <c r="AH2" s="1000">
        <v>163950691</v>
      </c>
      <c r="AI2" s="998">
        <v>150715736</v>
      </c>
      <c r="AJ2" s="923">
        <v>140354725</v>
      </c>
      <c r="AK2" s="921">
        <v>150292500</v>
      </c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</row>
    <row r="3" spans="1:62" s="482" customFormat="1" ht="24" customHeight="1" x14ac:dyDescent="0.2">
      <c r="A3" s="478" t="s">
        <v>81</v>
      </c>
      <c r="B3" s="479">
        <v>253.1</v>
      </c>
      <c r="C3" s="480">
        <v>22300</v>
      </c>
      <c r="D3" s="480">
        <f>B3*C3</f>
        <v>5644130</v>
      </c>
      <c r="E3" s="480">
        <v>5933533</v>
      </c>
      <c r="F3" s="480">
        <v>5934030</v>
      </c>
      <c r="G3" s="480">
        <v>5934030</v>
      </c>
      <c r="H3" s="481">
        <f t="shared" ref="H3:H29" si="0">G3</f>
        <v>5934030</v>
      </c>
      <c r="I3" s="266">
        <f>H3</f>
        <v>5934030</v>
      </c>
      <c r="J3" s="946"/>
      <c r="K3" s="946"/>
      <c r="L3" s="266">
        <v>5934030</v>
      </c>
      <c r="M3" s="954"/>
      <c r="N3" s="946"/>
      <c r="O3" s="946"/>
      <c r="P3" s="954"/>
      <c r="Q3" s="965"/>
      <c r="R3" s="965"/>
      <c r="S3" s="987"/>
      <c r="T3" s="963"/>
      <c r="U3" s="963"/>
      <c r="V3" s="266">
        <f>25200*266.1</f>
        <v>6705720.0000000009</v>
      </c>
      <c r="W3" s="266">
        <v>6708240</v>
      </c>
      <c r="X3" s="519">
        <v>6708240</v>
      </c>
      <c r="Y3" s="266">
        <v>6708240</v>
      </c>
      <c r="Z3" s="266"/>
      <c r="AA3" s="941"/>
      <c r="AB3" s="519"/>
      <c r="AC3" s="266">
        <v>6708240</v>
      </c>
      <c r="AD3" s="550"/>
      <c r="AE3" s="551"/>
      <c r="AF3" s="939"/>
      <c r="AG3" s="936"/>
      <c r="AH3" s="1001"/>
      <c r="AI3" s="998"/>
      <c r="AJ3" s="924"/>
      <c r="AK3" s="921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</row>
    <row r="4" spans="1:62" s="482" customFormat="1" ht="24" customHeight="1" x14ac:dyDescent="0.2">
      <c r="A4" s="478" t="s">
        <v>82</v>
      </c>
      <c r="B4" s="479">
        <v>29.56</v>
      </c>
      <c r="C4" s="480">
        <v>320000</v>
      </c>
      <c r="D4" s="480">
        <f>C4*B4</f>
        <v>9459200</v>
      </c>
      <c r="E4" s="480">
        <v>13888000</v>
      </c>
      <c r="F4" s="480">
        <v>13760000</v>
      </c>
      <c r="G4" s="480">
        <v>13920000</v>
      </c>
      <c r="H4" s="481">
        <f t="shared" si="0"/>
        <v>13920000</v>
      </c>
      <c r="I4" s="266">
        <f t="shared" ref="I4:I12" si="1">H4</f>
        <v>13920000</v>
      </c>
      <c r="J4" s="946"/>
      <c r="K4" s="946"/>
      <c r="L4" s="266">
        <v>13920000</v>
      </c>
      <c r="M4" s="954"/>
      <c r="N4" s="946"/>
      <c r="O4" s="946"/>
      <c r="P4" s="954"/>
      <c r="Q4" s="965"/>
      <c r="R4" s="965"/>
      <c r="S4" s="987"/>
      <c r="T4" s="963"/>
      <c r="U4" s="963"/>
      <c r="V4" s="266">
        <v>13920000</v>
      </c>
      <c r="W4" s="266">
        <v>13952000</v>
      </c>
      <c r="X4" s="519">
        <v>13984000</v>
      </c>
      <c r="Y4" s="266">
        <v>13952000</v>
      </c>
      <c r="Z4" s="266"/>
      <c r="AA4" s="941"/>
      <c r="AB4" s="519"/>
      <c r="AC4" s="266">
        <v>14016000</v>
      </c>
      <c r="AD4" s="550"/>
      <c r="AE4" s="551"/>
      <c r="AF4" s="939"/>
      <c r="AG4" s="936"/>
      <c r="AH4" s="1001"/>
      <c r="AI4" s="998"/>
      <c r="AJ4" s="924"/>
      <c r="AK4" s="921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</row>
    <row r="5" spans="1:62" s="482" customFormat="1" ht="24" customHeight="1" x14ac:dyDescent="0.2">
      <c r="A5" s="478" t="s">
        <v>83</v>
      </c>
      <c r="B5" s="479"/>
      <c r="C5" s="480">
        <v>69</v>
      </c>
      <c r="D5" s="480">
        <v>100000</v>
      </c>
      <c r="E5" s="480">
        <v>100000</v>
      </c>
      <c r="F5" s="480">
        <v>100000</v>
      </c>
      <c r="G5" s="480">
        <v>100000</v>
      </c>
      <c r="H5" s="481">
        <f t="shared" si="0"/>
        <v>100000</v>
      </c>
      <c r="I5" s="266">
        <f t="shared" si="1"/>
        <v>100000</v>
      </c>
      <c r="J5" s="946"/>
      <c r="K5" s="946"/>
      <c r="L5" s="266">
        <v>100000</v>
      </c>
      <c r="M5" s="954"/>
      <c r="N5" s="946"/>
      <c r="O5" s="946"/>
      <c r="P5" s="954"/>
      <c r="Q5" s="965"/>
      <c r="R5" s="965"/>
      <c r="S5" s="987"/>
      <c r="T5" s="963"/>
      <c r="U5" s="963"/>
      <c r="V5" s="266">
        <v>100000</v>
      </c>
      <c r="W5" s="266">
        <v>100000</v>
      </c>
      <c r="X5" s="519">
        <v>100000</v>
      </c>
      <c r="Y5" s="266">
        <v>100000</v>
      </c>
      <c r="Z5" s="266">
        <v>105368275</v>
      </c>
      <c r="AA5" s="941"/>
      <c r="AB5" s="519"/>
      <c r="AC5" s="266">
        <v>100000</v>
      </c>
      <c r="AD5" s="550"/>
      <c r="AE5" s="551"/>
      <c r="AF5" s="939"/>
      <c r="AG5" s="936"/>
      <c r="AH5" s="1001"/>
      <c r="AI5" s="998"/>
      <c r="AJ5" s="924"/>
      <c r="AK5" s="921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s="482" customFormat="1" ht="12.75" customHeight="1" x14ac:dyDescent="0.25">
      <c r="A6" s="478" t="s">
        <v>84</v>
      </c>
      <c r="B6" s="479">
        <f>35</f>
        <v>35</v>
      </c>
      <c r="C6" s="480">
        <v>227000</v>
      </c>
      <c r="D6" s="480">
        <f>C6*B6</f>
        <v>7945000</v>
      </c>
      <c r="E6" s="480">
        <v>7967700</v>
      </c>
      <c r="F6" s="480">
        <v>7967700</v>
      </c>
      <c r="G6" s="480">
        <v>7967700</v>
      </c>
      <c r="H6" s="481">
        <f t="shared" si="0"/>
        <v>7967700</v>
      </c>
      <c r="I6" s="266">
        <f t="shared" si="1"/>
        <v>7967700</v>
      </c>
      <c r="J6" s="946"/>
      <c r="K6" s="946"/>
      <c r="L6" s="266">
        <v>7967700</v>
      </c>
      <c r="M6" s="954"/>
      <c r="N6" s="946"/>
      <c r="O6" s="946"/>
      <c r="P6" s="954"/>
      <c r="Q6" s="965"/>
      <c r="R6" s="965"/>
      <c r="S6" s="987"/>
      <c r="T6" s="963"/>
      <c r="U6" s="963"/>
      <c r="V6" s="266">
        <v>7967700</v>
      </c>
      <c r="W6" s="266">
        <v>33784410</v>
      </c>
      <c r="X6" s="519">
        <v>33782139</v>
      </c>
      <c r="Y6" s="266">
        <v>33784410</v>
      </c>
      <c r="Z6" s="266"/>
      <c r="AA6" s="941"/>
      <c r="AB6" s="519">
        <v>110012469</v>
      </c>
      <c r="AC6" s="266">
        <v>34972699</v>
      </c>
      <c r="AD6" s="550">
        <v>3188575</v>
      </c>
      <c r="AE6" s="552">
        <f>AC2+AC3+AC4+AC5+AC6+AC7+AC8+AD6</f>
        <v>110012469</v>
      </c>
      <c r="AF6" s="939"/>
      <c r="AG6" s="936"/>
      <c r="AH6" s="1001"/>
      <c r="AI6" s="998"/>
      <c r="AJ6" s="924"/>
      <c r="AK6" s="921"/>
      <c r="AL6" s="19"/>
      <c r="AM6" s="211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</row>
    <row r="7" spans="1:62" s="482" customFormat="1" ht="24.75" x14ac:dyDescent="0.25">
      <c r="A7" s="478" t="s">
        <v>85</v>
      </c>
      <c r="B7" s="479">
        <f>2515</f>
        <v>2515</v>
      </c>
      <c r="C7" s="480">
        <v>2700</v>
      </c>
      <c r="D7" s="480">
        <f>B7*C7</f>
        <v>6790500</v>
      </c>
      <c r="E7" s="480">
        <v>4473357</v>
      </c>
      <c r="F7" s="480">
        <v>6947100</v>
      </c>
      <c r="G7" s="480">
        <v>7065900</v>
      </c>
      <c r="H7" s="481">
        <v>7209000</v>
      </c>
      <c r="I7" s="266">
        <f t="shared" si="1"/>
        <v>7209000</v>
      </c>
      <c r="J7" s="946"/>
      <c r="K7" s="946"/>
      <c r="L7" s="266">
        <v>7408800</v>
      </c>
      <c r="M7" s="954"/>
      <c r="N7" s="946"/>
      <c r="O7" s="946"/>
      <c r="P7" s="954"/>
      <c r="Q7" s="965"/>
      <c r="R7" s="965"/>
      <c r="S7" s="987"/>
      <c r="T7" s="963"/>
      <c r="U7" s="963"/>
      <c r="V7" s="266">
        <v>7408800</v>
      </c>
      <c r="W7" s="266">
        <v>7503300</v>
      </c>
      <c r="X7" s="519">
        <v>8000000</v>
      </c>
      <c r="Y7" s="266">
        <v>7503300</v>
      </c>
      <c r="Z7" s="266"/>
      <c r="AA7" s="941"/>
      <c r="AB7" s="519"/>
      <c r="AC7" s="266">
        <v>8000000</v>
      </c>
      <c r="AD7" s="550"/>
      <c r="AE7" s="551"/>
      <c r="AF7" s="939"/>
      <c r="AG7" s="936"/>
      <c r="AH7" s="1001"/>
      <c r="AI7" s="998"/>
      <c r="AJ7" s="924"/>
      <c r="AK7" s="921"/>
      <c r="AL7" s="19"/>
      <c r="AM7" s="211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</row>
    <row r="8" spans="1:62" s="482" customFormat="1" ht="24.75" x14ac:dyDescent="0.25">
      <c r="A8" s="478" t="s">
        <v>86</v>
      </c>
      <c r="B8" s="483">
        <v>57</v>
      </c>
      <c r="C8" s="480">
        <v>2550</v>
      </c>
      <c r="D8" s="480">
        <f>C8*B8</f>
        <v>145350</v>
      </c>
      <c r="E8" s="480">
        <v>145350</v>
      </c>
      <c r="F8" s="480">
        <v>137700</v>
      </c>
      <c r="G8" s="480">
        <v>142800</v>
      </c>
      <c r="H8" s="481">
        <v>109650</v>
      </c>
      <c r="I8" s="266">
        <f t="shared" si="1"/>
        <v>109650</v>
      </c>
      <c r="J8" s="946"/>
      <c r="K8" s="946"/>
      <c r="L8" s="266">
        <v>107100</v>
      </c>
      <c r="M8" s="954"/>
      <c r="N8" s="946"/>
      <c r="O8" s="946"/>
      <c r="P8" s="954"/>
      <c r="Q8" s="965"/>
      <c r="R8" s="965"/>
      <c r="S8" s="987"/>
      <c r="T8" s="963"/>
      <c r="U8" s="963"/>
      <c r="V8" s="266">
        <v>107100</v>
      </c>
      <c r="W8" s="266">
        <v>104550</v>
      </c>
      <c r="X8" s="519">
        <v>112200</v>
      </c>
      <c r="Y8" s="266">
        <v>104550</v>
      </c>
      <c r="Z8" s="266"/>
      <c r="AA8" s="941"/>
      <c r="AB8" s="519"/>
      <c r="AC8" s="266">
        <v>107100</v>
      </c>
      <c r="AD8" s="550"/>
      <c r="AE8" s="551"/>
      <c r="AF8" s="939"/>
      <c r="AG8" s="936"/>
      <c r="AH8" s="1001"/>
      <c r="AI8" s="998"/>
      <c r="AJ8" s="924"/>
      <c r="AK8" s="921"/>
      <c r="AL8" s="19"/>
      <c r="AM8" s="211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</row>
    <row r="9" spans="1:62" s="482" customFormat="1" ht="12.75" customHeight="1" x14ac:dyDescent="0.25">
      <c r="A9" s="484" t="s">
        <v>87</v>
      </c>
      <c r="B9" s="483">
        <v>518319</v>
      </c>
      <c r="C9" s="483">
        <v>1.55</v>
      </c>
      <c r="D9" s="480">
        <f>C9*B9</f>
        <v>803394.45000000007</v>
      </c>
      <c r="E9" s="480">
        <v>802900</v>
      </c>
      <c r="F9" s="480">
        <v>0</v>
      </c>
      <c r="G9" s="485">
        <v>0</v>
      </c>
      <c r="H9" s="481">
        <v>1798899</v>
      </c>
      <c r="I9" s="266">
        <f t="shared" si="1"/>
        <v>1798899</v>
      </c>
      <c r="J9" s="946"/>
      <c r="K9" s="946"/>
      <c r="L9" s="266">
        <v>1704400</v>
      </c>
      <c r="M9" s="954"/>
      <c r="N9" s="946"/>
      <c r="O9" s="946"/>
      <c r="P9" s="954"/>
      <c r="Q9" s="965"/>
      <c r="R9" s="965"/>
      <c r="S9" s="987"/>
      <c r="T9" s="963"/>
      <c r="U9" s="963"/>
      <c r="V9" s="266">
        <v>1704400</v>
      </c>
      <c r="W9" s="266">
        <v>3360043</v>
      </c>
      <c r="X9" s="519"/>
      <c r="Y9" s="266">
        <f>3360043-1173775-1012493</f>
        <v>1173775</v>
      </c>
      <c r="Z9" s="266"/>
      <c r="AA9" s="941"/>
      <c r="AB9" s="519"/>
      <c r="AC9" s="266"/>
      <c r="AD9" s="550"/>
      <c r="AE9" s="551"/>
      <c r="AF9" s="939"/>
      <c r="AG9" s="936"/>
      <c r="AH9" s="1001"/>
      <c r="AI9" s="998"/>
      <c r="AJ9" s="924"/>
      <c r="AK9" s="921"/>
      <c r="AL9" s="19"/>
      <c r="AM9" s="211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</row>
    <row r="10" spans="1:62" s="482" customFormat="1" ht="24.75" x14ac:dyDescent="0.25">
      <c r="A10" s="486" t="s">
        <v>88</v>
      </c>
      <c r="B10" s="487"/>
      <c r="C10" s="488" t="s">
        <v>89</v>
      </c>
      <c r="D10" s="489">
        <f>0-SUM(D2:D9)*0.2</f>
        <v>-12616994.890000001</v>
      </c>
      <c r="E10" s="480"/>
      <c r="F10" s="490">
        <v>-5123252</v>
      </c>
      <c r="G10" s="490">
        <v>-2680896</v>
      </c>
      <c r="H10" s="481">
        <v>0</v>
      </c>
      <c r="I10" s="266">
        <f t="shared" si="1"/>
        <v>0</v>
      </c>
      <c r="J10" s="946"/>
      <c r="K10" s="946"/>
      <c r="L10" s="266">
        <v>-3318618</v>
      </c>
      <c r="M10" s="954"/>
      <c r="N10" s="946"/>
      <c r="O10" s="946"/>
      <c r="P10" s="954"/>
      <c r="Q10" s="965"/>
      <c r="R10" s="965"/>
      <c r="S10" s="987"/>
      <c r="T10" s="963"/>
      <c r="U10" s="963"/>
      <c r="V10" s="266"/>
      <c r="W10" s="266"/>
      <c r="X10" s="519"/>
      <c r="Y10" s="266"/>
      <c r="Z10" s="266"/>
      <c r="AA10" s="941"/>
      <c r="AB10" s="519"/>
      <c r="AC10" s="266"/>
      <c r="AD10" s="550"/>
      <c r="AE10" s="551"/>
      <c r="AF10" s="939"/>
      <c r="AG10" s="937"/>
      <c r="AH10" s="1002"/>
      <c r="AI10" s="998"/>
      <c r="AJ10" s="925"/>
      <c r="AK10" s="921"/>
      <c r="AL10" s="19"/>
      <c r="AM10" s="211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</row>
    <row r="11" spans="1:62" s="482" customFormat="1" ht="12.75" customHeight="1" x14ac:dyDescent="0.25">
      <c r="A11" s="491" t="s">
        <v>223</v>
      </c>
      <c r="B11" s="487"/>
      <c r="C11" s="488"/>
      <c r="D11" s="489"/>
      <c r="E11" s="480"/>
      <c r="F11" s="490"/>
      <c r="G11" s="490"/>
      <c r="H11" s="481">
        <v>1041000</v>
      </c>
      <c r="I11" s="266">
        <f t="shared" si="1"/>
        <v>1041000</v>
      </c>
      <c r="J11" s="947"/>
      <c r="K11" s="947"/>
      <c r="L11" s="266">
        <v>972400</v>
      </c>
      <c r="M11" s="955"/>
      <c r="N11" s="947"/>
      <c r="O11" s="947"/>
      <c r="P11" s="955"/>
      <c r="Q11" s="966"/>
      <c r="R11" s="966"/>
      <c r="S11" s="988"/>
      <c r="T11" s="963"/>
      <c r="U11" s="963"/>
      <c r="V11" s="266">
        <v>972400</v>
      </c>
      <c r="W11" s="266">
        <v>840800</v>
      </c>
      <c r="X11" s="519"/>
      <c r="Y11" s="266">
        <v>840000</v>
      </c>
      <c r="Z11" s="266"/>
      <c r="AA11" s="942"/>
      <c r="AB11" s="519">
        <v>3610011</v>
      </c>
      <c r="AC11" s="266"/>
      <c r="AD11" s="550">
        <v>3610011</v>
      </c>
      <c r="AE11" s="553"/>
      <c r="AF11" s="553"/>
      <c r="AG11" s="72">
        <v>3610011</v>
      </c>
      <c r="AH11" s="72"/>
      <c r="AI11" s="716"/>
      <c r="AJ11" s="752">
        <v>9087104</v>
      </c>
      <c r="AK11" s="784">
        <v>9087104</v>
      </c>
      <c r="AL11" s="19"/>
      <c r="AM11" s="127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</row>
    <row r="12" spans="1:62" hidden="1" x14ac:dyDescent="0.2">
      <c r="A12" s="20" t="s">
        <v>90</v>
      </c>
      <c r="B12" s="24"/>
      <c r="C12" s="21"/>
      <c r="D12" s="21">
        <v>78597</v>
      </c>
      <c r="E12" s="21"/>
      <c r="F12" s="21"/>
      <c r="G12" s="21"/>
      <c r="H12" s="36">
        <f t="shared" si="0"/>
        <v>0</v>
      </c>
      <c r="I12" s="74">
        <f t="shared" si="1"/>
        <v>0</v>
      </c>
      <c r="J12" s="74"/>
      <c r="K12" s="74"/>
      <c r="L12" s="74"/>
      <c r="N12" s="74"/>
      <c r="O12" s="74"/>
      <c r="P12" s="85"/>
      <c r="Q12" s="167"/>
      <c r="R12" s="167"/>
      <c r="S12" s="167"/>
      <c r="T12" s="24"/>
      <c r="U12" s="24"/>
      <c r="V12" s="74"/>
      <c r="X12" s="72"/>
      <c r="Y12" s="74"/>
      <c r="Z12" s="74"/>
      <c r="AA12" s="74"/>
      <c r="AB12" s="325"/>
      <c r="AF12" s="74"/>
      <c r="AI12" s="716"/>
      <c r="AJ12" s="750"/>
      <c r="AK12" s="781"/>
    </row>
    <row r="13" spans="1:62" s="497" customFormat="1" ht="39" customHeight="1" x14ac:dyDescent="0.2">
      <c r="A13" s="492" t="s">
        <v>91</v>
      </c>
      <c r="B13" s="493">
        <v>7.4</v>
      </c>
      <c r="C13" s="494">
        <v>4152000</v>
      </c>
      <c r="D13" s="494">
        <f>B13*C13</f>
        <v>30724800</v>
      </c>
      <c r="E13" s="494">
        <f>20483200+10241600</f>
        <v>30724800</v>
      </c>
      <c r="F13" s="494">
        <f>24412000+12206000</f>
        <v>36618000</v>
      </c>
      <c r="G13" s="494">
        <f>28309367+6960000</f>
        <v>35269367</v>
      </c>
      <c r="H13" s="495">
        <v>36513000</v>
      </c>
      <c r="I13" s="496">
        <f>H13+401000</f>
        <v>36914000</v>
      </c>
      <c r="J13" s="948">
        <v>49438917</v>
      </c>
      <c r="K13" s="948">
        <v>54497234</v>
      </c>
      <c r="L13" s="496">
        <f>23314667+11657333</f>
        <v>34972000</v>
      </c>
      <c r="M13" s="956">
        <f>SUM(L13:L18)</f>
        <v>57797100</v>
      </c>
      <c r="N13" s="948">
        <v>59555551</v>
      </c>
      <c r="O13" s="948">
        <v>61005667</v>
      </c>
      <c r="P13" s="956">
        <f>M13</f>
        <v>57797100</v>
      </c>
      <c r="Q13" s="967">
        <v>57797100</v>
      </c>
      <c r="R13" s="967">
        <f>ÖNKORMÁNYZAT!AB3</f>
        <v>29263639</v>
      </c>
      <c r="S13" s="989">
        <f>ÖNKORMÁNYZAT!AC3</f>
        <v>39506403</v>
      </c>
      <c r="T13" s="973">
        <f>ÖNKORMÁNYZAT!AD3</f>
        <v>44322828</v>
      </c>
      <c r="U13" s="973">
        <f>ÖNKORMÁNYZAT!AG3</f>
        <v>49139253</v>
      </c>
      <c r="V13" s="496">
        <v>36283450</v>
      </c>
      <c r="W13" s="496">
        <v>36283450</v>
      </c>
      <c r="X13" s="520">
        <v>41808900</v>
      </c>
      <c r="Y13" s="496">
        <v>37150750</v>
      </c>
      <c r="Z13" s="496"/>
      <c r="AA13" s="940">
        <f>74761600+8000000</f>
        <v>82761600</v>
      </c>
      <c r="AB13" s="1004">
        <v>76652300</v>
      </c>
      <c r="AC13" s="496"/>
      <c r="AD13" s="496"/>
      <c r="AF13" s="999">
        <v>74761600</v>
      </c>
      <c r="AG13" s="935">
        <v>91373520</v>
      </c>
      <c r="AH13" s="1000">
        <v>119743520</v>
      </c>
      <c r="AI13" s="998">
        <v>118438856</v>
      </c>
      <c r="AJ13" s="923">
        <v>105485500</v>
      </c>
      <c r="AK13" s="921">
        <v>186603004</v>
      </c>
      <c r="AL13" s="19"/>
      <c r="AM13" s="167">
        <v>98425900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</row>
    <row r="14" spans="1:62" s="497" customFormat="1" ht="24" x14ac:dyDescent="0.2">
      <c r="A14" s="492" t="s">
        <v>92</v>
      </c>
      <c r="B14" s="493">
        <v>7.4</v>
      </c>
      <c r="C14" s="494">
        <v>35000</v>
      </c>
      <c r="D14" s="494">
        <f>C14*B14/12*3</f>
        <v>64750</v>
      </c>
      <c r="E14" s="494">
        <v>259000</v>
      </c>
      <c r="F14" s="494">
        <v>297500</v>
      </c>
      <c r="G14" s="494">
        <f>13409700+343800</f>
        <v>13753500</v>
      </c>
      <c r="H14" s="495">
        <v>16490100</v>
      </c>
      <c r="I14" s="496">
        <f>H14</f>
        <v>16490100</v>
      </c>
      <c r="J14" s="949"/>
      <c r="K14" s="949"/>
      <c r="L14" s="496">
        <v>0</v>
      </c>
      <c r="M14" s="957"/>
      <c r="N14" s="949"/>
      <c r="O14" s="949"/>
      <c r="P14" s="957"/>
      <c r="Q14" s="968"/>
      <c r="R14" s="968"/>
      <c r="S14" s="990"/>
      <c r="T14" s="974"/>
      <c r="U14" s="974"/>
      <c r="V14" s="496">
        <v>0</v>
      </c>
      <c r="W14" s="496"/>
      <c r="X14" s="520"/>
      <c r="Y14" s="496"/>
      <c r="Z14" s="496"/>
      <c r="AA14" s="941"/>
      <c r="AB14" s="1005"/>
      <c r="AC14" s="496"/>
      <c r="AD14" s="496"/>
      <c r="AF14" s="999"/>
      <c r="AG14" s="936"/>
      <c r="AH14" s="1001"/>
      <c r="AI14" s="998"/>
      <c r="AJ14" s="924"/>
      <c r="AK14" s="922"/>
      <c r="AL14" s="19"/>
      <c r="AM14" s="167">
        <v>3910500</v>
      </c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</row>
    <row r="15" spans="1:62" s="497" customFormat="1" ht="24" x14ac:dyDescent="0.2">
      <c r="A15" s="492" t="s">
        <v>93</v>
      </c>
      <c r="B15" s="493">
        <v>5</v>
      </c>
      <c r="C15" s="494">
        <v>1800000</v>
      </c>
      <c r="D15" s="494">
        <f>C15*B15</f>
        <v>9000000</v>
      </c>
      <c r="E15" s="494">
        <f>6000000+3000000</f>
        <v>9000000</v>
      </c>
      <c r="F15" s="494">
        <f>7200000+3600000</f>
        <v>10800000</v>
      </c>
      <c r="G15" s="494">
        <v>3480000</v>
      </c>
      <c r="H15" s="495">
        <v>0</v>
      </c>
      <c r="I15" s="496">
        <f t="shared" ref="I15:I18" si="2">H15</f>
        <v>0</v>
      </c>
      <c r="J15" s="949"/>
      <c r="K15" s="949"/>
      <c r="L15" s="496">
        <f>7350000+3675000</f>
        <v>11025000</v>
      </c>
      <c r="M15" s="957"/>
      <c r="N15" s="949"/>
      <c r="O15" s="949"/>
      <c r="P15" s="957"/>
      <c r="Q15" s="968"/>
      <c r="R15" s="968"/>
      <c r="S15" s="990"/>
      <c r="T15" s="974"/>
      <c r="U15" s="974"/>
      <c r="V15" s="496">
        <v>15600000</v>
      </c>
      <c r="W15" s="496">
        <v>15600000</v>
      </c>
      <c r="X15" s="520">
        <v>18973500</v>
      </c>
      <c r="Y15" s="496">
        <v>14400000</v>
      </c>
      <c r="Z15" s="496">
        <v>73806400</v>
      </c>
      <c r="AA15" s="941"/>
      <c r="AB15" s="1005"/>
      <c r="AC15" s="496">
        <v>74761600</v>
      </c>
      <c r="AD15" s="496">
        <v>8757180</v>
      </c>
      <c r="AE15" s="498">
        <f>AC15+AD15</f>
        <v>83518780</v>
      </c>
      <c r="AF15" s="999"/>
      <c r="AG15" s="936"/>
      <c r="AH15" s="1001"/>
      <c r="AI15" s="998"/>
      <c r="AJ15" s="924"/>
      <c r="AK15" s="922"/>
      <c r="AL15" s="19"/>
      <c r="AM15" s="864">
        <v>3241000</v>
      </c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</row>
    <row r="16" spans="1:62" s="497" customFormat="1" ht="12.75" customHeight="1" x14ac:dyDescent="0.2">
      <c r="A16" s="492" t="s">
        <v>94</v>
      </c>
      <c r="B16" s="493">
        <f>16+71</f>
        <v>87</v>
      </c>
      <c r="C16" s="494">
        <v>70000</v>
      </c>
      <c r="D16" s="494">
        <f>C16*B16</f>
        <v>6090000</v>
      </c>
      <c r="E16" s="494">
        <f>746667+3313333+373333+1656667</f>
        <v>6090000</v>
      </c>
      <c r="F16" s="494">
        <f>693333+4480000+346667+2240000</f>
        <v>7760000</v>
      </c>
      <c r="G16" s="494">
        <f>5555600+2723333</f>
        <v>8278933</v>
      </c>
      <c r="H16" s="495">
        <v>8142767</v>
      </c>
      <c r="I16" s="496">
        <f t="shared" si="2"/>
        <v>8142767</v>
      </c>
      <c r="J16" s="949"/>
      <c r="K16" s="949"/>
      <c r="L16" s="496">
        <f>5844000+2922000</f>
        <v>8766000</v>
      </c>
      <c r="M16" s="957"/>
      <c r="N16" s="949"/>
      <c r="O16" s="949"/>
      <c r="P16" s="957"/>
      <c r="Q16" s="968"/>
      <c r="R16" s="968"/>
      <c r="S16" s="990"/>
      <c r="T16" s="974"/>
      <c r="U16" s="974"/>
      <c r="V16" s="496">
        <v>9155600</v>
      </c>
      <c r="W16" s="496">
        <v>9155600</v>
      </c>
      <c r="X16" s="520">
        <v>9253000</v>
      </c>
      <c r="Y16" s="496">
        <v>9184820</v>
      </c>
      <c r="Z16" s="496"/>
      <c r="AA16" s="941"/>
      <c r="AB16" s="1005"/>
      <c r="AC16" s="496"/>
      <c r="AD16" s="496"/>
      <c r="AF16" s="999"/>
      <c r="AG16" s="936"/>
      <c r="AH16" s="1001"/>
      <c r="AI16" s="998"/>
      <c r="AJ16" s="924"/>
      <c r="AK16" s="922"/>
      <c r="AL16" s="19"/>
      <c r="AM16" s="167">
        <v>42144000</v>
      </c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</row>
    <row r="17" spans="1:62" s="497" customFormat="1" ht="36" x14ac:dyDescent="0.2">
      <c r="A17" s="492" t="s">
        <v>95</v>
      </c>
      <c r="B17" s="493">
        <v>1</v>
      </c>
      <c r="C17" s="494">
        <v>1286000</v>
      </c>
      <c r="D17" s="494">
        <f>C17+B17</f>
        <v>1286001</v>
      </c>
      <c r="E17" s="494">
        <v>1286000</v>
      </c>
      <c r="F17" s="494">
        <v>1402910</v>
      </c>
      <c r="G17" s="494">
        <v>1530600</v>
      </c>
      <c r="H17" s="495">
        <v>1604000</v>
      </c>
      <c r="I17" s="496">
        <f t="shared" si="2"/>
        <v>1604000</v>
      </c>
      <c r="J17" s="949"/>
      <c r="K17" s="949"/>
      <c r="L17" s="496">
        <v>1586800</v>
      </c>
      <c r="M17" s="957"/>
      <c r="N17" s="949"/>
      <c r="O17" s="949"/>
      <c r="P17" s="957"/>
      <c r="Q17" s="968"/>
      <c r="R17" s="968"/>
      <c r="S17" s="990"/>
      <c r="T17" s="974"/>
      <c r="U17" s="974"/>
      <c r="V17" s="496">
        <v>1586800</v>
      </c>
      <c r="W17" s="496">
        <v>1586800</v>
      </c>
      <c r="X17" s="520">
        <v>1611000</v>
      </c>
      <c r="Y17" s="496">
        <v>1983500</v>
      </c>
      <c r="Z17" s="496"/>
      <c r="AA17" s="941"/>
      <c r="AB17" s="1005"/>
      <c r="AC17" s="496"/>
      <c r="AD17" s="496"/>
      <c r="AF17" s="999"/>
      <c r="AG17" s="936"/>
      <c r="AH17" s="1001"/>
      <c r="AI17" s="998"/>
      <c r="AJ17" s="924"/>
      <c r="AK17" s="922"/>
      <c r="AL17" s="19"/>
      <c r="AM17" s="167">
        <v>17978608</v>
      </c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</row>
    <row r="18" spans="1:62" s="497" customFormat="1" ht="36" x14ac:dyDescent="0.2">
      <c r="A18" s="492" t="s">
        <v>96</v>
      </c>
      <c r="B18" s="493">
        <v>3</v>
      </c>
      <c r="C18" s="494">
        <v>352000</v>
      </c>
      <c r="D18" s="494">
        <f>C18+B18</f>
        <v>352003</v>
      </c>
      <c r="E18" s="494">
        <v>1056000</v>
      </c>
      <c r="F18" s="494">
        <v>1152000</v>
      </c>
      <c r="G18" s="494">
        <v>2094500</v>
      </c>
      <c r="H18" s="495">
        <v>1463000</v>
      </c>
      <c r="I18" s="496">
        <f t="shared" si="2"/>
        <v>1463000</v>
      </c>
      <c r="J18" s="950"/>
      <c r="K18" s="950"/>
      <c r="L18" s="496">
        <f>1447300</f>
        <v>1447300</v>
      </c>
      <c r="M18" s="958"/>
      <c r="N18" s="950"/>
      <c r="O18" s="950"/>
      <c r="P18" s="958"/>
      <c r="Q18" s="969"/>
      <c r="R18" s="969"/>
      <c r="S18" s="991"/>
      <c r="T18" s="974"/>
      <c r="U18" s="974"/>
      <c r="V18" s="496">
        <v>1447300</v>
      </c>
      <c r="W18" s="496">
        <v>1447300</v>
      </c>
      <c r="X18" s="520">
        <v>2160000</v>
      </c>
      <c r="Y18" s="496">
        <v>1447300</v>
      </c>
      <c r="Z18" s="496"/>
      <c r="AA18" s="942"/>
      <c r="AB18" s="1006"/>
      <c r="AC18" s="496"/>
      <c r="AD18" s="496"/>
      <c r="AF18" s="999"/>
      <c r="AG18" s="937"/>
      <c r="AH18" s="1002"/>
      <c r="AI18" s="998"/>
      <c r="AJ18" s="925"/>
      <c r="AK18" s="922"/>
      <c r="AL18" s="19"/>
      <c r="AM18" s="167">
        <v>13510000</v>
      </c>
      <c r="AN18" s="19">
        <v>7393000</v>
      </c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</row>
    <row r="19" spans="1:62" ht="36" x14ac:dyDescent="0.2">
      <c r="A19" s="440" t="s">
        <v>581</v>
      </c>
      <c r="B19" s="24"/>
      <c r="C19" s="22" t="s">
        <v>97</v>
      </c>
      <c r="D19" s="21"/>
      <c r="E19" s="21"/>
      <c r="F19" s="21"/>
      <c r="G19" s="21"/>
      <c r="H19" s="36">
        <f t="shared" si="0"/>
        <v>0</v>
      </c>
      <c r="I19" s="74"/>
      <c r="J19" s="940">
        <v>59000197</v>
      </c>
      <c r="K19" s="940">
        <v>64684011</v>
      </c>
      <c r="L19" s="74">
        <v>0</v>
      </c>
      <c r="M19" s="959">
        <f>SUM(L19:L27)</f>
        <v>70880660</v>
      </c>
      <c r="N19" s="940">
        <v>71427390</v>
      </c>
      <c r="O19" s="940">
        <v>76267408</v>
      </c>
      <c r="P19" s="959">
        <f>M19</f>
        <v>70880660</v>
      </c>
      <c r="Q19" s="970">
        <f>13444000+1716160+14894500+14326000+24884112+7603000</f>
        <v>76867772</v>
      </c>
      <c r="R19" s="970">
        <f>ÖNKORMÁNYZAT!AB4</f>
        <v>40279158</v>
      </c>
      <c r="S19" s="992">
        <f>ÖNKORMÁNYZAT!AC4</f>
        <v>54464182</v>
      </c>
      <c r="T19" s="975">
        <f>ÖNKORMÁNYZAT!AD4</f>
        <v>60699420</v>
      </c>
      <c r="U19" s="975">
        <f>ÖNKORMÁNYZAT!AG4</f>
        <v>66934659</v>
      </c>
      <c r="V19" s="325">
        <v>0</v>
      </c>
      <c r="W19" s="985">
        <v>76920150</v>
      </c>
      <c r="X19" s="521">
        <v>2123520</v>
      </c>
      <c r="Y19" s="74">
        <v>2875840</v>
      </c>
      <c r="Z19" s="74">
        <v>2123520</v>
      </c>
      <c r="AA19" s="547">
        <v>2848020</v>
      </c>
      <c r="AB19" s="549">
        <v>2848020</v>
      </c>
      <c r="AC19" s="554"/>
      <c r="AD19" s="554">
        <v>7630500</v>
      </c>
      <c r="AE19" s="555"/>
      <c r="AF19" s="575">
        <v>2848020</v>
      </c>
      <c r="AG19" s="599">
        <v>2952400</v>
      </c>
      <c r="AH19" s="713">
        <v>2952400</v>
      </c>
      <c r="AI19" s="716">
        <v>3394400</v>
      </c>
      <c r="AJ19" s="778">
        <v>7140000</v>
      </c>
      <c r="AK19" s="783">
        <v>5913658</v>
      </c>
    </row>
    <row r="20" spans="1:62" ht="12.75" customHeight="1" x14ac:dyDescent="0.2">
      <c r="A20" s="20" t="s">
        <v>98</v>
      </c>
      <c r="B20" s="24"/>
      <c r="C20" s="22" t="s">
        <v>99</v>
      </c>
      <c r="D20" s="21"/>
      <c r="E20" s="21"/>
      <c r="F20" s="21"/>
      <c r="G20" s="21"/>
      <c r="H20" s="36">
        <f t="shared" si="0"/>
        <v>0</v>
      </c>
      <c r="I20" s="74"/>
      <c r="J20" s="951"/>
      <c r="K20" s="951"/>
      <c r="L20" s="74">
        <v>1716160</v>
      </c>
      <c r="M20" s="960"/>
      <c r="N20" s="951"/>
      <c r="O20" s="951"/>
      <c r="P20" s="960"/>
      <c r="Q20" s="971"/>
      <c r="R20" s="971"/>
      <c r="S20" s="993"/>
      <c r="T20" s="976"/>
      <c r="U20" s="976"/>
      <c r="V20" s="326">
        <v>13549422</v>
      </c>
      <c r="W20" s="985"/>
      <c r="X20" s="995">
        <v>14964000</v>
      </c>
      <c r="Y20" s="74">
        <v>13549422</v>
      </c>
      <c r="Z20" s="74"/>
      <c r="AA20" s="932">
        <v>10379854</v>
      </c>
      <c r="AB20" s="1007">
        <v>10379855</v>
      </c>
      <c r="AC20" s="554"/>
      <c r="AD20" s="554"/>
      <c r="AE20" s="555"/>
      <c r="AF20" s="999">
        <v>10379854</v>
      </c>
      <c r="AG20" s="938">
        <v>10379854</v>
      </c>
      <c r="AH20" s="1003">
        <v>9833942</v>
      </c>
      <c r="AI20" s="998">
        <v>9951048</v>
      </c>
      <c r="AJ20" s="923">
        <v>9330509</v>
      </c>
      <c r="AK20" s="926"/>
    </row>
    <row r="21" spans="1:62" ht="12.75" customHeight="1" x14ac:dyDescent="0.2">
      <c r="A21" s="20" t="s">
        <v>100</v>
      </c>
      <c r="B21" s="24"/>
      <c r="C21" s="21"/>
      <c r="D21" s="21">
        <v>2751000</v>
      </c>
      <c r="E21" s="21">
        <v>8525180</v>
      </c>
      <c r="F21" s="21">
        <v>15296378</v>
      </c>
      <c r="G21" s="21">
        <v>16662000</v>
      </c>
      <c r="H21" s="36">
        <v>16617000</v>
      </c>
      <c r="I21" s="74">
        <f>H21+1707713</f>
        <v>18324713</v>
      </c>
      <c r="J21" s="951"/>
      <c r="K21" s="951"/>
      <c r="L21" s="74">
        <v>13444000</v>
      </c>
      <c r="M21" s="960"/>
      <c r="N21" s="951"/>
      <c r="O21" s="951"/>
      <c r="P21" s="960"/>
      <c r="Q21" s="971"/>
      <c r="R21" s="971"/>
      <c r="S21" s="993"/>
      <c r="T21" s="976"/>
      <c r="U21" s="976"/>
      <c r="V21" s="326">
        <v>2091520</v>
      </c>
      <c r="W21" s="985"/>
      <c r="X21" s="996"/>
      <c r="Y21" s="74">
        <v>14366400</v>
      </c>
      <c r="Z21" s="74"/>
      <c r="AA21" s="933"/>
      <c r="AB21" s="1008"/>
      <c r="AC21" s="554"/>
      <c r="AD21" s="554"/>
      <c r="AE21" s="555"/>
      <c r="AF21" s="999"/>
      <c r="AG21" s="938"/>
      <c r="AH21" s="1003"/>
      <c r="AI21" s="998"/>
      <c r="AJ21" s="924"/>
      <c r="AK21" s="927"/>
    </row>
    <row r="22" spans="1:62" ht="12.75" customHeight="1" x14ac:dyDescent="0.2">
      <c r="A22" s="20" t="s">
        <v>101</v>
      </c>
      <c r="B22" s="24">
        <v>34</v>
      </c>
      <c r="C22" s="21">
        <v>55360</v>
      </c>
      <c r="D22" s="21">
        <f>C22*B22</f>
        <v>1882240</v>
      </c>
      <c r="E22" s="21">
        <v>1882240</v>
      </c>
      <c r="F22" s="21">
        <v>2048320</v>
      </c>
      <c r="G22" s="21">
        <v>2048320</v>
      </c>
      <c r="H22" s="36">
        <v>1660800</v>
      </c>
      <c r="I22" s="74">
        <f>H22</f>
        <v>1660800</v>
      </c>
      <c r="J22" s="951"/>
      <c r="K22" s="951"/>
      <c r="L22" s="74">
        <v>1500000</v>
      </c>
      <c r="M22" s="960"/>
      <c r="N22" s="951"/>
      <c r="O22" s="951"/>
      <c r="P22" s="960"/>
      <c r="Q22" s="971"/>
      <c r="R22" s="971"/>
      <c r="S22" s="993"/>
      <c r="T22" s="976"/>
      <c r="U22" s="976"/>
      <c r="V22" s="326">
        <v>2091520</v>
      </c>
      <c r="W22" s="985"/>
      <c r="X22" s="997"/>
      <c r="Y22" s="74">
        <v>2875840</v>
      </c>
      <c r="Z22" s="74"/>
      <c r="AA22" s="933"/>
      <c r="AB22" s="1008"/>
      <c r="AC22" s="554"/>
      <c r="AD22" s="554"/>
      <c r="AE22" s="555"/>
      <c r="AF22" s="999"/>
      <c r="AG22" s="938"/>
      <c r="AH22" s="1003"/>
      <c r="AI22" s="998"/>
      <c r="AJ22" s="924"/>
      <c r="AK22" s="927"/>
    </row>
    <row r="23" spans="1:62" ht="12.75" customHeight="1" x14ac:dyDescent="0.25">
      <c r="A23" s="437"/>
      <c r="B23" s="439">
        <v>28</v>
      </c>
      <c r="C23" s="21">
        <v>494100</v>
      </c>
      <c r="D23" s="21">
        <f>C23*B23/12*4</f>
        <v>4611600</v>
      </c>
      <c r="E23" s="21"/>
      <c r="F23" s="21"/>
      <c r="G23" s="21">
        <f>11858400+1508760</f>
        <v>13367160</v>
      </c>
      <c r="H23" s="36">
        <v>12570600</v>
      </c>
      <c r="I23" s="74">
        <f t="shared" ref="I23:I26" si="3">H23</f>
        <v>12570600</v>
      </c>
      <c r="J23" s="951"/>
      <c r="K23" s="951"/>
      <c r="L23" s="74">
        <f>4419000+10475500</f>
        <v>14894500</v>
      </c>
      <c r="M23" s="960"/>
      <c r="N23" s="951"/>
      <c r="O23" s="951"/>
      <c r="P23" s="960"/>
      <c r="Q23" s="971"/>
      <c r="R23" s="971"/>
      <c r="S23" s="993"/>
      <c r="T23" s="976"/>
      <c r="U23" s="976"/>
      <c r="V23" s="326">
        <f>4419000+9577600</f>
        <v>13996600</v>
      </c>
      <c r="W23" s="985"/>
      <c r="X23" s="522"/>
      <c r="Y23" s="181">
        <v>24261400</v>
      </c>
      <c r="Z23" s="74"/>
      <c r="AA23" s="934"/>
      <c r="AB23" s="1009"/>
      <c r="AC23" s="554">
        <v>53560874</v>
      </c>
      <c r="AD23" s="554"/>
      <c r="AE23" s="556">
        <f>AC23+AD19</f>
        <v>61191374</v>
      </c>
      <c r="AF23" s="999"/>
      <c r="AG23" s="938"/>
      <c r="AH23" s="1003"/>
      <c r="AI23" s="998"/>
      <c r="AJ23" s="925"/>
      <c r="AK23" s="928"/>
    </row>
    <row r="24" spans="1:62" ht="26.25" customHeight="1" x14ac:dyDescent="0.25">
      <c r="A24" s="437" t="s">
        <v>102</v>
      </c>
      <c r="B24" s="439"/>
      <c r="C24" s="21"/>
      <c r="D24" s="21"/>
      <c r="E24" s="21"/>
      <c r="F24" s="21"/>
      <c r="G24" s="21"/>
      <c r="H24" s="36"/>
      <c r="I24" s="74"/>
      <c r="J24" s="951"/>
      <c r="K24" s="951"/>
      <c r="L24" s="74"/>
      <c r="M24" s="960"/>
      <c r="N24" s="951"/>
      <c r="O24" s="951"/>
      <c r="P24" s="960"/>
      <c r="Q24" s="971"/>
      <c r="R24" s="971"/>
      <c r="S24" s="993"/>
      <c r="T24" s="976"/>
      <c r="U24" s="976"/>
      <c r="V24" s="326"/>
      <c r="W24" s="985"/>
      <c r="X24" s="522"/>
      <c r="Y24" s="181"/>
      <c r="Z24" s="74"/>
      <c r="AA24" s="621"/>
      <c r="AB24" s="620"/>
      <c r="AC24" s="554"/>
      <c r="AD24" s="554"/>
      <c r="AE24" s="556"/>
      <c r="AF24" s="623"/>
      <c r="AG24" s="622"/>
      <c r="AH24" s="714"/>
      <c r="AI24" s="716"/>
      <c r="AJ24" s="750"/>
      <c r="AK24" s="781"/>
    </row>
    <row r="25" spans="1:62" ht="24" x14ac:dyDescent="0.2">
      <c r="A25" s="20" t="s">
        <v>520</v>
      </c>
      <c r="B25" s="24">
        <v>7.2</v>
      </c>
      <c r="C25" s="21">
        <v>1632000</v>
      </c>
      <c r="D25" s="21">
        <f>C25*B25</f>
        <v>11750400</v>
      </c>
      <c r="E25" s="21">
        <v>12501120</v>
      </c>
      <c r="F25" s="21">
        <v>13317120</v>
      </c>
      <c r="G25" s="21">
        <v>13757760</v>
      </c>
      <c r="H25" s="36">
        <v>15922000</v>
      </c>
      <c r="I25" s="74">
        <f t="shared" si="3"/>
        <v>15922000</v>
      </c>
      <c r="J25" s="951"/>
      <c r="K25" s="951"/>
      <c r="L25" s="74">
        <v>14326000</v>
      </c>
      <c r="M25" s="960"/>
      <c r="N25" s="951"/>
      <c r="O25" s="951"/>
      <c r="P25" s="960"/>
      <c r="Q25" s="971"/>
      <c r="R25" s="971"/>
      <c r="S25" s="993"/>
      <c r="T25" s="976"/>
      <c r="U25" s="976"/>
      <c r="V25" s="326">
        <v>16126000</v>
      </c>
      <c r="W25" s="985"/>
      <c r="X25" s="523">
        <v>17416080</v>
      </c>
      <c r="Y25" s="526">
        <f>14190000+4419000</f>
        <v>18609000</v>
      </c>
      <c r="Z25" s="526">
        <v>40019251</v>
      </c>
      <c r="AA25" s="74">
        <v>36959283</v>
      </c>
      <c r="AB25" s="929">
        <v>40873523</v>
      </c>
      <c r="AF25" s="999">
        <v>37236659</v>
      </c>
      <c r="AG25" s="938">
        <v>37236659</v>
      </c>
      <c r="AH25" s="1003">
        <v>57769614</v>
      </c>
      <c r="AI25" s="998">
        <v>79384359</v>
      </c>
      <c r="AJ25" s="931">
        <v>85000000</v>
      </c>
      <c r="AK25" s="919">
        <v>64503601</v>
      </c>
    </row>
    <row r="26" spans="1:62" ht="24" x14ac:dyDescent="0.2">
      <c r="A26" s="20" t="s">
        <v>519</v>
      </c>
      <c r="B26" s="24"/>
      <c r="C26" s="21"/>
      <c r="D26" s="21"/>
      <c r="E26" s="21">
        <v>7457403</v>
      </c>
      <c r="F26" s="21">
        <v>19309659</v>
      </c>
      <c r="G26" s="21">
        <v>21899854</v>
      </c>
      <c r="H26" s="36">
        <v>19866370</v>
      </c>
      <c r="I26" s="74">
        <f t="shared" si="3"/>
        <v>19866370</v>
      </c>
      <c r="J26" s="951"/>
      <c r="K26" s="951"/>
      <c r="L26" s="74">
        <f>15000000</f>
        <v>15000000</v>
      </c>
      <c r="M26" s="960"/>
      <c r="N26" s="951"/>
      <c r="O26" s="951"/>
      <c r="P26" s="960"/>
      <c r="Q26" s="971"/>
      <c r="R26" s="971"/>
      <c r="S26" s="993"/>
      <c r="T26" s="976"/>
      <c r="U26" s="976"/>
      <c r="V26" s="325">
        <v>0</v>
      </c>
      <c r="W26" s="985"/>
      <c r="X26" s="523">
        <v>22603171</v>
      </c>
      <c r="Y26" s="526">
        <v>23545600</v>
      </c>
      <c r="Z26" s="526"/>
      <c r="AA26" s="74">
        <v>1818432</v>
      </c>
      <c r="AB26" s="930"/>
      <c r="AC26" s="557">
        <v>39055091</v>
      </c>
      <c r="AD26" s="557">
        <v>1818432</v>
      </c>
      <c r="AE26" s="558">
        <f>AC26+AD26</f>
        <v>40873523</v>
      </c>
      <c r="AF26" s="999"/>
      <c r="AG26" s="938"/>
      <c r="AH26" s="1003"/>
      <c r="AI26" s="998"/>
      <c r="AJ26" s="931"/>
      <c r="AK26" s="920"/>
    </row>
    <row r="27" spans="1:62" ht="24" customHeight="1" x14ac:dyDescent="0.25">
      <c r="A27" s="437" t="s">
        <v>604</v>
      </c>
      <c r="B27" s="24"/>
      <c r="C27" s="22"/>
      <c r="D27" s="21"/>
      <c r="E27" s="21"/>
      <c r="F27" s="21">
        <v>12352500</v>
      </c>
      <c r="G27" s="21"/>
      <c r="H27" s="36">
        <v>11648000</v>
      </c>
      <c r="I27" s="74">
        <f>H27</f>
        <v>11648000</v>
      </c>
      <c r="J27" s="952"/>
      <c r="K27" s="952"/>
      <c r="L27" s="74">
        <f>10000000</f>
        <v>10000000</v>
      </c>
      <c r="M27" s="961"/>
      <c r="N27" s="952"/>
      <c r="O27" s="952"/>
      <c r="P27" s="961"/>
      <c r="Q27" s="972"/>
      <c r="R27" s="972"/>
      <c r="S27" s="994"/>
      <c r="T27" s="976"/>
      <c r="U27" s="976"/>
      <c r="V27" s="325">
        <v>13996600</v>
      </c>
      <c r="W27" s="985"/>
      <c r="X27" s="522">
        <f>13632000+3060000</f>
        <v>16692000</v>
      </c>
      <c r="Y27" s="181">
        <v>5476000</v>
      </c>
      <c r="Z27" s="74">
        <v>16692000</v>
      </c>
      <c r="AA27" s="74">
        <f>40333000+7000000</f>
        <v>47333000</v>
      </c>
      <c r="AB27" s="549">
        <v>45820800</v>
      </c>
      <c r="AE27" s="8"/>
      <c r="AF27" s="574">
        <v>41218000</v>
      </c>
      <c r="AG27" s="602">
        <v>41218000</v>
      </c>
      <c r="AH27" s="715">
        <v>68198970</v>
      </c>
      <c r="AI27" s="716">
        <v>71181700</v>
      </c>
      <c r="AJ27" s="779">
        <v>102000000</v>
      </c>
      <c r="AK27" s="783">
        <v>71836600</v>
      </c>
    </row>
    <row r="28" spans="1:62" ht="24.75" x14ac:dyDescent="0.25">
      <c r="A28" s="438" t="s">
        <v>103</v>
      </c>
      <c r="B28" s="24">
        <v>2515</v>
      </c>
      <c r="C28" s="21">
        <v>1140</v>
      </c>
      <c r="D28" s="21">
        <f>C28*B28</f>
        <v>2867100</v>
      </c>
      <c r="E28" s="21">
        <v>2879640</v>
      </c>
      <c r="F28" s="21">
        <v>2933220</v>
      </c>
      <c r="G28" s="21">
        <v>2983380</v>
      </c>
      <c r="H28" s="36">
        <v>3230700</v>
      </c>
      <c r="I28" s="74">
        <v>3436761</v>
      </c>
      <c r="J28" s="74">
        <v>3098142</v>
      </c>
      <c r="K28" s="74">
        <f>3691865-752776</f>
        <v>2939089</v>
      </c>
      <c r="L28" s="74">
        <f>H28</f>
        <v>3230700</v>
      </c>
      <c r="M28" s="88">
        <f>L28</f>
        <v>3230700</v>
      </c>
      <c r="N28" s="74">
        <v>3768135</v>
      </c>
      <c r="O28" s="74">
        <v>4103132</v>
      </c>
      <c r="P28" s="88">
        <f>M28</f>
        <v>3230700</v>
      </c>
      <c r="Q28" s="168">
        <v>3320240</v>
      </c>
      <c r="R28" s="168">
        <f>ÖNKORMÁNYZAT!AB6</f>
        <v>2180479</v>
      </c>
      <c r="S28" s="242">
        <f>ÖNKORMÁNYZAT!AC6</f>
        <v>2974569</v>
      </c>
      <c r="T28" s="168">
        <f>ÖNKORMÁNYZAT!AD6</f>
        <v>3314022</v>
      </c>
      <c r="U28" s="168">
        <f>ÖNKORMÁNYZAT!AG6</f>
        <v>3671937</v>
      </c>
      <c r="V28" s="267">
        <v>3476529</v>
      </c>
      <c r="W28" s="424">
        <v>3476529</v>
      </c>
      <c r="X28" s="524">
        <v>6197520</v>
      </c>
      <c r="Y28" s="74">
        <v>3476529</v>
      </c>
      <c r="Z28" s="74">
        <v>6197520</v>
      </c>
      <c r="AA28" s="547">
        <v>6428765</v>
      </c>
      <c r="AB28" s="559">
        <v>6428765</v>
      </c>
      <c r="AC28" s="560">
        <v>6428765</v>
      </c>
      <c r="AD28" s="560"/>
      <c r="AE28" s="561">
        <v>6428765</v>
      </c>
      <c r="AF28" s="574">
        <v>6428765</v>
      </c>
      <c r="AG28" s="599">
        <v>6627935</v>
      </c>
      <c r="AH28" s="713">
        <v>6627935</v>
      </c>
      <c r="AI28" s="716">
        <v>6754076</v>
      </c>
      <c r="AJ28" s="778">
        <v>6802762</v>
      </c>
      <c r="AK28" s="783">
        <v>6844809</v>
      </c>
    </row>
    <row r="29" spans="1:62" x14ac:dyDescent="0.2">
      <c r="A29" s="20" t="s">
        <v>104</v>
      </c>
      <c r="B29" s="24"/>
      <c r="C29" s="22" t="s">
        <v>105</v>
      </c>
      <c r="D29" s="21"/>
      <c r="E29" s="21"/>
      <c r="F29" s="21"/>
      <c r="G29" s="21"/>
      <c r="H29" s="36">
        <f t="shared" si="0"/>
        <v>0</v>
      </c>
      <c r="I29" s="74"/>
      <c r="J29" s="74"/>
      <c r="K29" s="74"/>
      <c r="L29" s="74"/>
      <c r="M29" s="86"/>
      <c r="N29" s="74"/>
      <c r="O29" s="74">
        <v>15395422</v>
      </c>
      <c r="P29" s="86"/>
      <c r="Q29" s="168"/>
      <c r="R29" s="168"/>
      <c r="S29" s="242"/>
      <c r="T29" s="168"/>
      <c r="U29" s="24"/>
      <c r="V29" s="325"/>
      <c r="W29" s="74"/>
      <c r="X29" s="325"/>
      <c r="Y29" s="74"/>
      <c r="Z29" s="74"/>
      <c r="AA29" s="74"/>
      <c r="AB29" s="325"/>
      <c r="AC29" s="600"/>
      <c r="AD29" s="600"/>
    </row>
    <row r="30" spans="1:62" ht="24.75" x14ac:dyDescent="0.25">
      <c r="A30" s="20" t="s">
        <v>328</v>
      </c>
      <c r="B30" s="24"/>
      <c r="C30" s="22"/>
      <c r="D30" s="21"/>
      <c r="E30" s="21"/>
      <c r="F30" s="21"/>
      <c r="G30" s="21"/>
      <c r="H30" s="36">
        <v>15000000</v>
      </c>
      <c r="I30" s="74">
        <v>15074696</v>
      </c>
      <c r="J30" s="74">
        <v>752776</v>
      </c>
      <c r="K30" s="74">
        <v>752776</v>
      </c>
      <c r="L30" s="74"/>
      <c r="M30" s="86"/>
      <c r="N30" s="74"/>
      <c r="O30" s="74">
        <v>2792731</v>
      </c>
      <c r="P30" s="86"/>
      <c r="Q30" s="168"/>
      <c r="R30" s="168"/>
      <c r="S30" s="242"/>
      <c r="T30" s="168"/>
      <c r="U30" s="24"/>
      <c r="V30" s="325"/>
      <c r="W30" s="74"/>
      <c r="X30" s="325"/>
      <c r="Y30" s="55">
        <v>2445900</v>
      </c>
      <c r="Z30" s="74"/>
      <c r="AA30" s="74"/>
      <c r="AB30" s="325"/>
      <c r="AC30" s="601"/>
      <c r="AD30" s="601"/>
    </row>
    <row r="31" spans="1:62" x14ac:dyDescent="0.2">
      <c r="A31" s="943" t="s">
        <v>445</v>
      </c>
      <c r="B31" s="24"/>
      <c r="C31" s="22"/>
      <c r="D31" s="21"/>
      <c r="E31" s="21" t="s">
        <v>329</v>
      </c>
      <c r="F31" s="21"/>
      <c r="G31" s="21"/>
      <c r="H31" s="36"/>
      <c r="I31" s="74"/>
      <c r="J31" s="74">
        <v>132077336</v>
      </c>
      <c r="K31" s="74">
        <v>132077336</v>
      </c>
      <c r="L31" s="74"/>
      <c r="M31" s="86"/>
      <c r="N31" s="74"/>
      <c r="O31" s="74">
        <v>132077336</v>
      </c>
      <c r="P31" s="86"/>
      <c r="Q31" s="168"/>
      <c r="R31" s="979">
        <f>ÖNKORMÁNYZAT!AB10+ÖNKORMÁNYZAT!AB11</f>
        <v>81541846</v>
      </c>
      <c r="S31" s="982">
        <f>ÖNKORMÁNYZAT!AC10+ÖNKORMÁNYZAT!AC11</f>
        <v>167312761</v>
      </c>
      <c r="T31" s="977">
        <f>ÖNKORMÁNYZAT!AD10+ÖNKORMÁNYZAT!AD11</f>
        <v>182312761</v>
      </c>
      <c r="U31" s="977">
        <f>ÖNKORMÁNYZAT!AG10+ÖNKORMÁNYZAT!AG11</f>
        <v>323494766</v>
      </c>
      <c r="V31" s="325"/>
      <c r="W31" s="74"/>
      <c r="X31" s="325"/>
      <c r="Y31" s="74"/>
      <c r="Z31" s="74"/>
      <c r="AA31" s="74"/>
      <c r="AB31" s="325"/>
      <c r="AC31" s="601"/>
      <c r="AD31" s="601"/>
    </row>
    <row r="32" spans="1:62" ht="12.75" customHeight="1" x14ac:dyDescent="0.2">
      <c r="A32" s="944"/>
      <c r="B32" s="24"/>
      <c r="C32" s="22"/>
      <c r="D32" s="21"/>
      <c r="E32" s="21" t="s">
        <v>330</v>
      </c>
      <c r="F32" s="21"/>
      <c r="G32" s="21"/>
      <c r="H32" s="36"/>
      <c r="I32" s="74"/>
      <c r="J32" s="74">
        <v>25214196</v>
      </c>
      <c r="K32" s="74">
        <v>25214196</v>
      </c>
      <c r="L32" s="74"/>
      <c r="M32" s="86"/>
      <c r="N32" s="74"/>
      <c r="O32" s="74">
        <v>25214196</v>
      </c>
      <c r="P32" s="86"/>
      <c r="Q32" s="168"/>
      <c r="R32" s="980"/>
      <c r="S32" s="983"/>
      <c r="T32" s="978"/>
      <c r="U32" s="978"/>
      <c r="V32" s="325"/>
      <c r="W32" s="74"/>
      <c r="X32" s="325"/>
      <c r="Y32" s="74"/>
      <c r="Z32" s="74"/>
      <c r="AA32" s="74"/>
      <c r="AB32" s="325"/>
      <c r="AC32" s="601"/>
      <c r="AD32" s="601"/>
    </row>
    <row r="33" spans="1:36" ht="12.75" customHeight="1" x14ac:dyDescent="0.2">
      <c r="A33" s="944"/>
      <c r="B33" s="24"/>
      <c r="C33" s="22"/>
      <c r="D33" s="130"/>
      <c r="E33" s="21" t="s">
        <v>331</v>
      </c>
      <c r="F33" s="21"/>
      <c r="G33" s="21"/>
      <c r="H33" s="36"/>
      <c r="I33" s="74"/>
      <c r="J33" s="74">
        <v>46691520</v>
      </c>
      <c r="K33" s="74">
        <v>46691520</v>
      </c>
      <c r="L33" s="74"/>
      <c r="M33" s="86"/>
      <c r="N33" s="74"/>
      <c r="O33" s="74">
        <v>46691520</v>
      </c>
      <c r="P33" s="86"/>
      <c r="Q33" s="168"/>
      <c r="R33" s="980"/>
      <c r="S33" s="983"/>
      <c r="T33" s="978"/>
      <c r="U33" s="978"/>
      <c r="V33" s="325"/>
      <c r="W33" s="74"/>
      <c r="X33" s="325"/>
      <c r="Y33" s="74"/>
      <c r="Z33" s="74"/>
      <c r="AA33" s="74"/>
      <c r="AB33" s="325"/>
      <c r="AC33" s="601"/>
      <c r="AD33" s="601"/>
    </row>
    <row r="34" spans="1:36" ht="12.75" customHeight="1" x14ac:dyDescent="0.2">
      <c r="A34" s="944"/>
      <c r="C34" s="128"/>
      <c r="D34" s="129"/>
      <c r="E34" s="21" t="s">
        <v>402</v>
      </c>
      <c r="F34" s="21"/>
      <c r="G34" s="21"/>
      <c r="H34" s="36"/>
      <c r="I34" s="74"/>
      <c r="J34" s="74"/>
      <c r="K34" s="74"/>
      <c r="L34" s="74"/>
      <c r="M34" s="86"/>
      <c r="N34" s="74"/>
      <c r="O34" s="74">
        <v>19607425</v>
      </c>
      <c r="P34" s="86"/>
      <c r="Q34" s="168"/>
      <c r="R34" s="981"/>
      <c r="S34" s="984"/>
      <c r="T34" s="978"/>
      <c r="U34" s="978"/>
      <c r="V34" s="325"/>
      <c r="W34" s="74"/>
      <c r="X34" s="325"/>
      <c r="Y34" s="74"/>
      <c r="Z34" s="74"/>
      <c r="AA34" s="74"/>
      <c r="AB34" s="325"/>
      <c r="AC34" s="601"/>
      <c r="AD34" s="601"/>
    </row>
    <row r="35" spans="1:36" ht="18" customHeight="1" x14ac:dyDescent="0.2">
      <c r="D35" s="25">
        <f>SUM(D2:D29)</f>
        <v>121926470.56</v>
      </c>
      <c r="E35" s="25">
        <f>SUM(E2:E30)</f>
        <v>147261223</v>
      </c>
      <c r="F35" s="26">
        <f>SUM(F2:F29)</f>
        <v>185757885</v>
      </c>
      <c r="G35" s="26">
        <f>SUM(G2:G29)</f>
        <v>200688308</v>
      </c>
      <c r="H35" s="26">
        <f>SUM(H2:H30)</f>
        <v>232425816</v>
      </c>
      <c r="I35" s="73">
        <f>SUM(I2:I29)</f>
        <v>219781216</v>
      </c>
      <c r="J35" s="73">
        <f>SUM(J2:J33)</f>
        <v>370803791</v>
      </c>
      <c r="K35" s="73">
        <f t="shared" ref="K35:U35" si="4">SUM(K2:K33)</f>
        <v>387122667</v>
      </c>
      <c r="L35" s="73">
        <f t="shared" si="4"/>
        <v>201008472</v>
      </c>
      <c r="M35" s="73">
        <f t="shared" si="4"/>
        <v>201008472</v>
      </c>
      <c r="N35" s="73">
        <f t="shared" si="4"/>
        <v>200753379</v>
      </c>
      <c r="O35" s="73">
        <f t="shared" si="4"/>
        <v>435285517</v>
      </c>
      <c r="P35" s="73">
        <f t="shared" si="4"/>
        <v>201008472</v>
      </c>
      <c r="Q35" s="73">
        <f t="shared" si="4"/>
        <v>207231668</v>
      </c>
      <c r="R35" s="73">
        <f t="shared" si="4"/>
        <v>189370123</v>
      </c>
      <c r="S35" s="73">
        <f t="shared" si="4"/>
        <v>312435635</v>
      </c>
      <c r="T35" s="73">
        <f t="shared" si="4"/>
        <v>344371645</v>
      </c>
      <c r="U35" s="73">
        <f t="shared" si="4"/>
        <v>502508123</v>
      </c>
      <c r="V35" s="321">
        <f>SUM(V2:V33)</f>
        <v>209107961</v>
      </c>
      <c r="W35" s="328">
        <f>SUM(W2:W34)</f>
        <v>245127372</v>
      </c>
      <c r="X35" s="328">
        <f>SUM(X2:X34)</f>
        <v>258701520</v>
      </c>
      <c r="Y35" s="328">
        <f>SUM(Y2:Y34)</f>
        <v>281016576</v>
      </c>
      <c r="Z35" s="72">
        <f>SUM(Z2:Z28)</f>
        <v>244206966</v>
      </c>
      <c r="AA35" s="72">
        <f>SUM(AA2:AA28)</f>
        <v>298962859</v>
      </c>
      <c r="AB35" s="72">
        <f>SUM(AB2:AB28)</f>
        <v>296625743</v>
      </c>
      <c r="AC35" s="601">
        <f>SUM(AC2:AC28)</f>
        <v>280630224</v>
      </c>
      <c r="AD35" s="601">
        <f>SUM(AD2:AD34)</f>
        <v>25004698</v>
      </c>
      <c r="AE35" s="19">
        <f>SUM(AE5:AE34)</f>
        <v>302024911</v>
      </c>
      <c r="AF35" s="328">
        <f>SUM(AF2:AF34)</f>
        <v>279696792</v>
      </c>
      <c r="AG35" s="717">
        <f>SUM(AG2:AG34)</f>
        <v>308029070</v>
      </c>
      <c r="AH35" s="717">
        <f>SUM(AH2:AH34)</f>
        <v>429077072</v>
      </c>
      <c r="AI35" s="718">
        <f>SUM(AI2:AI28)</f>
        <v>439820175</v>
      </c>
      <c r="AJ35" s="753">
        <f>SUM(AJ2:AJ28)</f>
        <v>465200600</v>
      </c>
    </row>
    <row r="36" spans="1:36" x14ac:dyDescent="0.2">
      <c r="AC36" s="601"/>
      <c r="AD36" s="601">
        <f>AC35+AD35</f>
        <v>305634922</v>
      </c>
    </row>
    <row r="37" spans="1:36" x14ac:dyDescent="0.2">
      <c r="O37" s="127"/>
      <c r="AC37" s="601"/>
      <c r="AD37" s="601"/>
    </row>
    <row r="38" spans="1:36" x14ac:dyDescent="0.2">
      <c r="AC38" s="601"/>
      <c r="AD38" s="601"/>
    </row>
    <row r="39" spans="1:36" x14ac:dyDescent="0.2">
      <c r="AC39" s="601"/>
      <c r="AD39" s="601"/>
    </row>
    <row r="40" spans="1:36" x14ac:dyDescent="0.2">
      <c r="AC40" s="601"/>
      <c r="AD40" s="601"/>
    </row>
    <row r="41" spans="1:36" x14ac:dyDescent="0.2">
      <c r="AC41" s="601"/>
      <c r="AD41" s="601"/>
    </row>
    <row r="42" spans="1:36" x14ac:dyDescent="0.2">
      <c r="AC42" s="601"/>
      <c r="AD42" s="601"/>
    </row>
    <row r="43" spans="1:36" x14ac:dyDescent="0.2">
      <c r="AC43" s="601"/>
      <c r="AD43" s="601"/>
    </row>
    <row r="44" spans="1:36" x14ac:dyDescent="0.2">
      <c r="AC44" s="601"/>
      <c r="AD44" s="601"/>
    </row>
    <row r="45" spans="1:36" x14ac:dyDescent="0.2">
      <c r="AC45" s="601"/>
      <c r="AD45" s="601"/>
    </row>
    <row r="46" spans="1:36" x14ac:dyDescent="0.2">
      <c r="AC46" s="601"/>
      <c r="AD46" s="601"/>
    </row>
    <row r="47" spans="1:36" x14ac:dyDescent="0.2">
      <c r="AC47" s="601"/>
      <c r="AD47" s="601"/>
    </row>
    <row r="48" spans="1:36" x14ac:dyDescent="0.2">
      <c r="AC48" s="601"/>
      <c r="AD48" s="601"/>
    </row>
    <row r="49" spans="29:30" x14ac:dyDescent="0.2">
      <c r="AC49" s="601"/>
      <c r="AD49" s="601"/>
    </row>
    <row r="50" spans="29:30" x14ac:dyDescent="0.2">
      <c r="AC50" s="601"/>
      <c r="AD50" s="601"/>
    </row>
    <row r="51" spans="29:30" x14ac:dyDescent="0.2">
      <c r="AC51" s="601"/>
      <c r="AD51" s="601"/>
    </row>
    <row r="52" spans="29:30" x14ac:dyDescent="0.2">
      <c r="AC52" s="601"/>
      <c r="AD52" s="601"/>
    </row>
    <row r="53" spans="29:30" x14ac:dyDescent="0.2">
      <c r="AC53" s="601"/>
      <c r="AD53" s="601"/>
    </row>
    <row r="54" spans="29:30" x14ac:dyDescent="0.2">
      <c r="AC54" s="601"/>
      <c r="AD54" s="601"/>
    </row>
    <row r="55" spans="29:30" x14ac:dyDescent="0.2">
      <c r="AC55" s="601"/>
      <c r="AD55" s="601"/>
    </row>
    <row r="56" spans="29:30" x14ac:dyDescent="0.2">
      <c r="AC56" s="601"/>
      <c r="AD56" s="601"/>
    </row>
    <row r="57" spans="29:30" x14ac:dyDescent="0.2">
      <c r="AC57" s="601"/>
      <c r="AD57" s="601"/>
    </row>
    <row r="58" spans="29:30" x14ac:dyDescent="0.2">
      <c r="AC58" s="601"/>
      <c r="AD58" s="601"/>
    </row>
    <row r="59" spans="29:30" x14ac:dyDescent="0.2">
      <c r="AC59" s="601"/>
      <c r="AD59" s="601"/>
    </row>
    <row r="60" spans="29:30" x14ac:dyDescent="0.2">
      <c r="AC60" s="601"/>
      <c r="AD60" s="601"/>
    </row>
    <row r="61" spans="29:30" x14ac:dyDescent="0.2">
      <c r="AC61" s="601"/>
      <c r="AD61" s="601"/>
    </row>
    <row r="62" spans="29:30" x14ac:dyDescent="0.2">
      <c r="AC62" s="601"/>
      <c r="AD62" s="601"/>
    </row>
    <row r="63" spans="29:30" x14ac:dyDescent="0.2">
      <c r="AC63" s="601"/>
      <c r="AD63" s="601"/>
    </row>
    <row r="64" spans="29:30" x14ac:dyDescent="0.2">
      <c r="AC64" s="601"/>
      <c r="AD64" s="601"/>
    </row>
    <row r="65" spans="29:30" x14ac:dyDescent="0.2">
      <c r="AC65" s="601"/>
      <c r="AD65" s="601"/>
    </row>
    <row r="66" spans="29:30" x14ac:dyDescent="0.2">
      <c r="AC66" s="601"/>
      <c r="AD66" s="601"/>
    </row>
    <row r="67" spans="29:30" x14ac:dyDescent="0.2">
      <c r="AC67" s="601"/>
      <c r="AD67" s="601"/>
    </row>
    <row r="68" spans="29:30" x14ac:dyDescent="0.2">
      <c r="AC68" s="601"/>
      <c r="AD68" s="601"/>
    </row>
    <row r="69" spans="29:30" x14ac:dyDescent="0.2">
      <c r="AC69" s="601"/>
      <c r="AD69" s="601"/>
    </row>
    <row r="70" spans="29:30" x14ac:dyDescent="0.2">
      <c r="AC70" s="601"/>
      <c r="AD70" s="601"/>
    </row>
    <row r="71" spans="29:30" x14ac:dyDescent="0.2">
      <c r="AC71" s="601"/>
      <c r="AD71" s="601"/>
    </row>
    <row r="72" spans="29:30" x14ac:dyDescent="0.2">
      <c r="AC72" s="601"/>
      <c r="AD72" s="601"/>
    </row>
    <row r="73" spans="29:30" x14ac:dyDescent="0.2">
      <c r="AC73" s="601"/>
      <c r="AD73" s="601"/>
    </row>
    <row r="74" spans="29:30" x14ac:dyDescent="0.2">
      <c r="AC74" s="601"/>
      <c r="AD74" s="601"/>
    </row>
    <row r="75" spans="29:30" x14ac:dyDescent="0.2">
      <c r="AC75" s="601"/>
      <c r="AD75" s="601"/>
    </row>
    <row r="76" spans="29:30" x14ac:dyDescent="0.2">
      <c r="AC76" s="601"/>
      <c r="AD76" s="601"/>
    </row>
    <row r="77" spans="29:30" x14ac:dyDescent="0.2">
      <c r="AC77" s="601"/>
      <c r="AD77" s="601"/>
    </row>
    <row r="78" spans="29:30" x14ac:dyDescent="0.2">
      <c r="AC78" s="601"/>
      <c r="AD78" s="601"/>
    </row>
    <row r="79" spans="29:30" x14ac:dyDescent="0.2">
      <c r="AC79" s="601"/>
      <c r="AD79" s="601"/>
    </row>
    <row r="80" spans="29:30" x14ac:dyDescent="0.2">
      <c r="AC80" s="601"/>
      <c r="AD80" s="601"/>
    </row>
    <row r="81" spans="29:30" x14ac:dyDescent="0.2">
      <c r="AC81" s="601"/>
      <c r="AD81" s="601"/>
    </row>
    <row r="82" spans="29:30" x14ac:dyDescent="0.2">
      <c r="AC82" s="601"/>
      <c r="AD82" s="601"/>
    </row>
    <row r="83" spans="29:30" x14ac:dyDescent="0.2">
      <c r="AC83" s="601"/>
      <c r="AD83" s="601"/>
    </row>
    <row r="84" spans="29:30" x14ac:dyDescent="0.2">
      <c r="AC84" s="601"/>
      <c r="AD84" s="601"/>
    </row>
    <row r="85" spans="29:30" x14ac:dyDescent="0.2">
      <c r="AC85" s="601"/>
      <c r="AD85" s="601"/>
    </row>
    <row r="86" spans="29:30" x14ac:dyDescent="0.2">
      <c r="AC86" s="601"/>
      <c r="AD86" s="601"/>
    </row>
  </sheetData>
  <mergeCells count="70">
    <mergeCell ref="U13:U18"/>
    <mergeCell ref="U19:U27"/>
    <mergeCell ref="X20:X22"/>
    <mergeCell ref="AI2:AI10"/>
    <mergeCell ref="AI13:AI18"/>
    <mergeCell ref="AI25:AI26"/>
    <mergeCell ref="AI20:AI23"/>
    <mergeCell ref="AF13:AF18"/>
    <mergeCell ref="AF20:AF23"/>
    <mergeCell ref="AF25:AF26"/>
    <mergeCell ref="AH2:AH10"/>
    <mergeCell ref="AH13:AH18"/>
    <mergeCell ref="AH20:AH23"/>
    <mergeCell ref="AH25:AH26"/>
    <mergeCell ref="AB13:AB18"/>
    <mergeCell ref="AB20:AB23"/>
    <mergeCell ref="R2:R11"/>
    <mergeCell ref="S2:S11"/>
    <mergeCell ref="R13:R18"/>
    <mergeCell ref="S13:S18"/>
    <mergeCell ref="R19:R27"/>
    <mergeCell ref="S19:S27"/>
    <mergeCell ref="U31:U34"/>
    <mergeCell ref="T31:T34"/>
    <mergeCell ref="R31:R34"/>
    <mergeCell ref="S31:S34"/>
    <mergeCell ref="W19:W27"/>
    <mergeCell ref="N2:N11"/>
    <mergeCell ref="N13:N18"/>
    <mergeCell ref="N19:N27"/>
    <mergeCell ref="P2:P11"/>
    <mergeCell ref="U2:U11"/>
    <mergeCell ref="P13:P18"/>
    <mergeCell ref="P19:P27"/>
    <mergeCell ref="O2:O11"/>
    <mergeCell ref="O13:O18"/>
    <mergeCell ref="O19:O27"/>
    <mergeCell ref="Q2:Q11"/>
    <mergeCell ref="Q13:Q18"/>
    <mergeCell ref="Q19:Q27"/>
    <mergeCell ref="T2:T11"/>
    <mergeCell ref="T13:T18"/>
    <mergeCell ref="T19:T27"/>
    <mergeCell ref="A31:A34"/>
    <mergeCell ref="J2:J11"/>
    <mergeCell ref="J13:J18"/>
    <mergeCell ref="J19:J27"/>
    <mergeCell ref="M2:M11"/>
    <mergeCell ref="M13:M18"/>
    <mergeCell ref="M19:M27"/>
    <mergeCell ref="K2:K11"/>
    <mergeCell ref="K13:K18"/>
    <mergeCell ref="K19:K27"/>
    <mergeCell ref="AB25:AB26"/>
    <mergeCell ref="AJ25:AJ26"/>
    <mergeCell ref="AA20:AA23"/>
    <mergeCell ref="AG2:AG10"/>
    <mergeCell ref="AG13:AG18"/>
    <mergeCell ref="AG20:AG23"/>
    <mergeCell ref="AG25:AG26"/>
    <mergeCell ref="AF2:AF10"/>
    <mergeCell ref="AA2:AA11"/>
    <mergeCell ref="AA13:AA18"/>
    <mergeCell ref="AK25:AK26"/>
    <mergeCell ref="AK13:AK18"/>
    <mergeCell ref="AK2:AK10"/>
    <mergeCell ref="AJ2:AJ10"/>
    <mergeCell ref="AJ13:AJ18"/>
    <mergeCell ref="AJ20:AJ23"/>
    <mergeCell ref="AK20:AK23"/>
  </mergeCells>
  <phoneticPr fontId="48" type="noConversion"/>
  <pageMargins left="0.78740157480314965" right="0.78740157480314965" top="0.23622047244094491" bottom="0.31496062992125984" header="0.15748031496062992" footer="0.27559055118110237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CN251"/>
  <sheetViews>
    <sheetView zoomScaleNormal="100" workbookViewId="0">
      <pane xSplit="2" ySplit="1" topLeftCell="BS20" activePane="bottomRight" state="frozen"/>
      <selection activeCell="AD101" sqref="AD101"/>
      <selection pane="topRight" activeCell="AD101" sqref="AD101"/>
      <selection pane="bottomLeft" activeCell="AD101" sqref="AD101"/>
      <selection pane="bottomRight" activeCell="BU101" sqref="BU101"/>
    </sheetView>
  </sheetViews>
  <sheetFormatPr defaultRowHeight="15" x14ac:dyDescent="0.25"/>
  <cols>
    <col min="2" max="2" width="47.5703125" style="1" customWidth="1"/>
    <col min="3" max="5" width="17.28515625" style="1" customWidth="1"/>
    <col min="6" max="9" width="15.7109375" style="13" customWidth="1"/>
    <col min="10" max="11" width="17.140625" style="1" customWidth="1"/>
    <col min="12" max="12" width="21.28515625" style="1" customWidth="1"/>
    <col min="13" max="13" width="15.85546875" style="1" customWidth="1"/>
    <col min="14" max="14" width="9.140625" customWidth="1"/>
    <col min="15" max="16" width="26" customWidth="1"/>
    <col min="17" max="19" width="27.5703125" style="1" customWidth="1"/>
    <col min="20" max="20" width="19.5703125" style="1" customWidth="1"/>
    <col min="21" max="21" width="19.7109375" style="1" customWidth="1"/>
    <col min="22" max="23" width="23.85546875" style="1" customWidth="1"/>
    <col min="24" max="24" width="24.5703125" style="120" customWidth="1"/>
    <col min="25" max="26" width="9.140625" customWidth="1"/>
    <col min="27" max="27" width="18.42578125" style="1" customWidth="1"/>
    <col min="28" max="28" width="17" customWidth="1"/>
    <col min="29" max="29" width="16.7109375" customWidth="1"/>
    <col min="30" max="31" width="18.140625" customWidth="1"/>
    <col min="32" max="33" width="17.7109375" customWidth="1"/>
    <col min="34" max="34" width="17.7109375" style="1" customWidth="1"/>
    <col min="35" max="36" width="19.7109375" customWidth="1"/>
    <col min="37" max="37" width="23.5703125" customWidth="1"/>
    <col min="38" max="38" width="16.28515625" customWidth="1"/>
    <col min="39" max="39" width="22.7109375" customWidth="1"/>
    <col min="40" max="40" width="19.7109375" customWidth="1"/>
    <col min="41" max="41" width="17.140625" customWidth="1"/>
    <col min="42" max="42" width="15.85546875" customWidth="1"/>
    <col min="43" max="43" width="21.7109375" customWidth="1"/>
    <col min="44" max="44" width="20.42578125" customWidth="1"/>
    <col min="45" max="45" width="14" customWidth="1"/>
    <col min="46" max="46" width="21.7109375" customWidth="1"/>
    <col min="47" max="47" width="20.42578125" customWidth="1"/>
    <col min="48" max="48" width="16.5703125" customWidth="1"/>
    <col min="49" max="49" width="21.7109375" customWidth="1"/>
    <col min="50" max="50" width="21.7109375" hidden="1" customWidth="1"/>
    <col min="51" max="51" width="18.85546875" hidden="1" customWidth="1"/>
    <col min="52" max="52" width="19" customWidth="1"/>
    <col min="53" max="53" width="20.42578125" customWidth="1"/>
    <col min="54" max="54" width="19.140625" style="506" customWidth="1"/>
    <col min="55" max="55" width="18" style="503" customWidth="1"/>
    <col min="56" max="56" width="16.42578125" style="503" customWidth="1"/>
    <col min="57" max="57" width="19.42578125" style="506" customWidth="1"/>
    <col min="58" max="58" width="16.5703125" style="1" customWidth="1"/>
    <col min="59" max="59" width="17.5703125" customWidth="1"/>
    <col min="60" max="60" width="16.140625" customWidth="1"/>
    <col min="61" max="61" width="18.42578125" customWidth="1"/>
    <col min="62" max="62" width="20" hidden="1" customWidth="1"/>
    <col min="63" max="63" width="18.5703125" customWidth="1"/>
    <col min="64" max="64" width="19" customWidth="1"/>
    <col min="65" max="66" width="20.28515625" customWidth="1"/>
    <col min="67" max="67" width="17" style="1" bestFit="1" customWidth="1"/>
    <col min="68" max="68" width="17" style="1" customWidth="1"/>
    <col min="69" max="69" width="20.28515625" customWidth="1"/>
    <col min="70" max="70" width="17.5703125" customWidth="1"/>
    <col min="71" max="71" width="19.85546875" customWidth="1"/>
    <col min="72" max="72" width="19.5703125" customWidth="1"/>
    <col min="73" max="73" width="18" customWidth="1"/>
    <col min="74" max="74" width="17.5703125" customWidth="1"/>
  </cols>
  <sheetData>
    <row r="1" spans="1:74" ht="48" thickBot="1" x14ac:dyDescent="0.3">
      <c r="A1" s="54"/>
      <c r="B1" s="55" t="s">
        <v>323</v>
      </c>
      <c r="C1" s="55" t="s">
        <v>0</v>
      </c>
      <c r="D1" s="55" t="s">
        <v>1</v>
      </c>
      <c r="E1" s="55" t="s">
        <v>2</v>
      </c>
      <c r="F1" s="56" t="s">
        <v>205</v>
      </c>
      <c r="G1" s="57" t="s">
        <v>225</v>
      </c>
      <c r="H1" s="56" t="s">
        <v>224</v>
      </c>
      <c r="I1" s="56" t="s">
        <v>313</v>
      </c>
      <c r="J1" s="55" t="s">
        <v>311</v>
      </c>
      <c r="K1" s="55" t="s">
        <v>312</v>
      </c>
      <c r="L1" s="55" t="s">
        <v>317</v>
      </c>
      <c r="O1" s="55" t="s">
        <v>324</v>
      </c>
      <c r="P1" s="55" t="s">
        <v>325</v>
      </c>
      <c r="Q1" s="55" t="s">
        <v>343</v>
      </c>
      <c r="R1" s="65" t="s">
        <v>346</v>
      </c>
      <c r="S1" s="65" t="s">
        <v>379</v>
      </c>
      <c r="T1" s="65" t="s">
        <v>378</v>
      </c>
      <c r="U1" s="65" t="s">
        <v>377</v>
      </c>
      <c r="V1" s="60" t="s">
        <v>399</v>
      </c>
      <c r="W1" s="60" t="s">
        <v>400</v>
      </c>
      <c r="X1" s="121" t="s">
        <v>401</v>
      </c>
      <c r="Y1" s="8"/>
      <c r="AA1" s="92" t="s">
        <v>425</v>
      </c>
      <c r="AB1" s="170" t="s">
        <v>425</v>
      </c>
      <c r="AC1" s="55" t="s">
        <v>438</v>
      </c>
      <c r="AD1" s="55" t="s">
        <v>439</v>
      </c>
      <c r="AE1" s="71" t="s">
        <v>471</v>
      </c>
      <c r="AF1" s="206" t="s">
        <v>470</v>
      </c>
      <c r="AG1" s="269" t="s">
        <v>522</v>
      </c>
      <c r="AH1" s="199"/>
      <c r="AI1" s="270" t="s">
        <v>486</v>
      </c>
      <c r="AJ1" s="270"/>
      <c r="AK1" s="229" t="s">
        <v>535</v>
      </c>
      <c r="AM1" s="345" t="s">
        <v>544</v>
      </c>
      <c r="AN1" s="54" t="s">
        <v>552</v>
      </c>
      <c r="AO1" t="s">
        <v>553</v>
      </c>
      <c r="AP1" s="405" t="s">
        <v>573</v>
      </c>
      <c r="AQ1" s="407" t="s">
        <v>557</v>
      </c>
      <c r="AR1" s="402" t="s">
        <v>560</v>
      </c>
      <c r="AS1" s="402" t="s">
        <v>561</v>
      </c>
      <c r="AT1" s="427" t="s">
        <v>566</v>
      </c>
      <c r="AU1" s="427" t="s">
        <v>568</v>
      </c>
      <c r="AV1" s="427" t="s">
        <v>569</v>
      </c>
      <c r="AW1" s="428" t="s">
        <v>567</v>
      </c>
      <c r="AX1" s="429" t="s">
        <v>570</v>
      </c>
      <c r="AY1" s="461" t="s">
        <v>592</v>
      </c>
      <c r="AZ1" s="461" t="s">
        <v>600</v>
      </c>
      <c r="BA1" s="461" t="s">
        <v>601</v>
      </c>
      <c r="BB1" s="504" t="s">
        <v>610</v>
      </c>
      <c r="BC1" s="500" t="s">
        <v>606</v>
      </c>
      <c r="BD1" s="500" t="s">
        <v>607</v>
      </c>
      <c r="BE1" s="500" t="s">
        <v>612</v>
      </c>
      <c r="BF1" s="512" t="s">
        <v>611</v>
      </c>
      <c r="BG1" s="514" t="s">
        <v>613</v>
      </c>
      <c r="BH1" s="605" t="s">
        <v>619</v>
      </c>
      <c r="BI1" s="500" t="s">
        <v>647</v>
      </c>
      <c r="BJ1" s="571" t="s">
        <v>641</v>
      </c>
      <c r="BK1" s="402" t="s">
        <v>654</v>
      </c>
      <c r="BL1" s="603" t="s">
        <v>653</v>
      </c>
      <c r="BM1" s="608" t="s">
        <v>688</v>
      </c>
      <c r="BN1" s="645" t="s">
        <v>706</v>
      </c>
      <c r="BO1" s="638" t="s">
        <v>697</v>
      </c>
      <c r="BP1" s="638" t="s">
        <v>699</v>
      </c>
      <c r="BQ1" s="638" t="s">
        <v>698</v>
      </c>
      <c r="BR1" s="638" t="s">
        <v>716</v>
      </c>
      <c r="BS1" s="660" t="s">
        <v>724</v>
      </c>
      <c r="BT1" s="710" t="s">
        <v>728</v>
      </c>
      <c r="BU1" s="862" t="s">
        <v>734</v>
      </c>
      <c r="BV1" s="863" t="s">
        <v>767</v>
      </c>
    </row>
    <row r="2" spans="1:74" x14ac:dyDescent="0.25">
      <c r="A2" s="54" t="s">
        <v>8</v>
      </c>
      <c r="B2" s="55" t="s">
        <v>175</v>
      </c>
      <c r="C2" s="55">
        <f>BÖLCSŐDE!C2+FALUHÁZ!C2+ÓVODA!C2+PMH!C2+ÖNKORMÁNYZAT!C2</f>
        <v>62620278</v>
      </c>
      <c r="D2" s="55">
        <f>BÖLCSŐDE!D2+FALUHÁZ!D2+ÓVODA!D2+PMH!D2+ÖNKORMÁNYZAT!D2</f>
        <v>99366791</v>
      </c>
      <c r="E2" s="55">
        <f>BÖLCSŐDE!E2+FALUHÁZ!E2+ÓVODA!E2+PMH!E2+ÖNKORMÁNYZAT!E2</f>
        <v>65562934</v>
      </c>
      <c r="F2" s="55">
        <f>BÖLCSŐDE!F2+FALUHÁZ!F2+ÓVODA!F2+PMH!F2+ÖNKORMÁNYZAT!F2</f>
        <v>56145638</v>
      </c>
      <c r="G2" s="55">
        <f>BÖLCSŐDE!G2+FALUHÁZ!G2+ÓVODA!G2+PMH!G2+ÖNKORMÁNYZAT!G2</f>
        <v>65635705</v>
      </c>
      <c r="H2" s="55">
        <f>BÖLCSŐDE!H2+FALUHÁZ!H2+ÓVODA!H2+PMH!H2+ÖNKORMÁNYZAT!H2</f>
        <v>61390673</v>
      </c>
      <c r="I2" s="55">
        <f>H2/11+H2</f>
        <v>66971643.272727273</v>
      </c>
      <c r="J2" s="55">
        <v>71697479</v>
      </c>
      <c r="K2" s="55">
        <v>71697479</v>
      </c>
      <c r="L2" s="55">
        <f>BÖLCSŐDE!L2+FALUHÁZ!L2+ÓVODA!L2+PMH!L2+ÖNKORMÁNYZAT!L2</f>
        <v>71697479</v>
      </c>
      <c r="M2" s="1">
        <f>IF(I2&lt;&gt;0,L2/I2*100,0)</f>
        <v>107.05647270446659</v>
      </c>
      <c r="O2" s="55">
        <f>BÖLCSŐDE!O2+FALUHÁZ!N2+ÓVODA!O2+PMH!O2+ÖNKORMÁNYZAT!O2</f>
        <v>71738105</v>
      </c>
      <c r="P2" s="55">
        <f>BÖLCSŐDE!P2+FALUHÁZ!O2+ÓVODA!P2+PMH!P2+ÖNKORMÁNYZAT!P2</f>
        <v>54530707</v>
      </c>
      <c r="Q2" s="55">
        <f>BÖLCSŐDE!Q2+FALUHÁZ!P2+ÓVODA!Q2+PMH!Q2+ÖNKORMÁNYZAT!Q2</f>
        <v>60266505</v>
      </c>
      <c r="R2" s="55">
        <f>BÖLCSŐDE!R2+FALUHÁZ!Q2+ÓVODA!R2+PMH!R2+ÖNKORMÁNYZAT!R2</f>
        <v>69100012</v>
      </c>
      <c r="S2" s="55">
        <f>BÖLCSŐDE!S2+FALUHÁZ!R2+ÓVODA!S2+PMH!S2+ÖNKORMÁNYZAT!S2</f>
        <v>71738105</v>
      </c>
      <c r="T2" s="55">
        <f>BÖLCSŐDE!T2+FALUHÁZ!S2+ÓVODA!T2+PMH!T2+ÖNKORMÁNYZAT!T2</f>
        <v>71738105</v>
      </c>
      <c r="U2" s="55">
        <f>BÖLCSŐDE!U2+FALUHÁZ!T2+ÓVODA!U2+PMH!U2+ÖNKORMÁNYZAT!U2</f>
        <v>69100012</v>
      </c>
      <c r="V2" s="55">
        <f>BÖLCSŐDE!V2+FALUHÁZ!U2+ÓVODA!V2+PMH!V2+ÖNKORMÁNYZAT!V2</f>
        <v>69100012</v>
      </c>
      <c r="W2" s="55">
        <f>BÖLCSŐDE!W2+FALUHÁZ!V2+ÓVODA!W2+PMH!W2+ÖNKORMÁNYZAT!W2</f>
        <v>69100012</v>
      </c>
      <c r="X2" s="122">
        <f>T2/V2*100</f>
        <v>103.81778949618707</v>
      </c>
      <c r="AA2" s="55">
        <f>BÖLCSŐDE!AA2+FALUHÁZ!Z2+ÓVODA!AA2+PMH!AA2+ÖNKORMÁNYZAT!AA2</f>
        <v>69246556</v>
      </c>
      <c r="AB2" s="55">
        <f>BÖLCSŐDE!AB2+FALUHÁZ!AA2+ÓVODA!AB2+PMH!AB2+ÖNKORMÁNYZAT!AB2</f>
        <v>36105001</v>
      </c>
      <c r="AC2" s="55">
        <f>BÖLCSŐDE!AB2+FALUHÁZ!AA2+ÓVODA!AB2+PMH!AB2+ÖNKORMÁNYZAT!AB2</f>
        <v>36105001</v>
      </c>
      <c r="AD2" s="55">
        <f>BÖLCSŐDE!AC2+FALUHÁZ!AB2+ÓVODA!AC2+PMH!AC2+ÖNKORMÁNYZAT!AC2</f>
        <v>48177720</v>
      </c>
      <c r="AE2" s="223">
        <f>BÖLCSŐDE!AE2+FALUHÁZ!AD2+ÓVODA!AE2+PMH!AE2+ÖNKORMÁNYZAT!AD2</f>
        <v>53722614</v>
      </c>
      <c r="AF2" s="223">
        <f>BÖLCSŐDE!AF2+FALUHÁZ!AF2+ÓVODA!AF2+PMH!AF2+ÖNKORMÁNYZAT!AE2</f>
        <v>77.581640305692602</v>
      </c>
      <c r="AG2" s="55">
        <f>BÖLCSŐDE!AG2+FALUHÁZ!AG2+ÓVODA!AG2+PMH!AG2+ÖNKORMÁNYZAT!AG2</f>
        <v>59267508</v>
      </c>
      <c r="AH2" s="55"/>
      <c r="AI2" s="55">
        <f>BÖLCSŐDE!AI2+FALUHÁZ!AJ2+ÓVODA!AI2+PMH!AI2+ÖNKORMÁNYZAT!AI2</f>
        <v>72543429.791999996</v>
      </c>
      <c r="AJ2" s="55"/>
      <c r="AK2" s="55">
        <f>BÖLCSŐDE!AL2+FALUHÁZ!AK2+ÓVODA!AK2+PMH!AK2+ÖNKORMÁNYZAT!AK2</f>
        <v>100657543</v>
      </c>
      <c r="AL2" s="55">
        <f>BÖLCSŐDE!AM2+FALUHÁZ!AL2+ÓVODA!AL2+PMH!AL2+ÖNKORMÁNYZAT!AL2</f>
        <v>245127372</v>
      </c>
      <c r="AM2" s="55">
        <f>BÖLCSŐDE!AM2+FALUHÁZ!AM2+ÓVODA!AM2+PMH!AM2+ÖNKORMÁNYZAT!AM2</f>
        <v>70357302</v>
      </c>
      <c r="AN2" s="55">
        <f>BÖLCSŐDE!AN2+FALUHÁZ!AN2+ÓVODA!AP2+PMH!AN2+ÖNKORMÁNYZAT!AP2</f>
        <v>100657543</v>
      </c>
      <c r="AO2" s="55">
        <f>BÖLCSŐDE!AO2+FALUHÁZ!AO2+ÓVODA!AQ2+PMH!AO2+ÖNKORMÁNYZAT!AQ2</f>
        <v>91139194</v>
      </c>
      <c r="AP2" s="55">
        <f>BÖLCSŐDE!AP2+FALUHÁZ!AP2+ÓVODA!AP2+PMH!AP2+ÖNKORMÁNYZAT!AP2</f>
        <v>100657543</v>
      </c>
      <c r="AQ2" s="55">
        <f>BÖLCSŐDE!AQ2+FALUHÁZ!AQ2+ÓVODA!AQ2+PMH!AQ2+ÖNKORMÁNYZAT!AQ2</f>
        <v>91139194</v>
      </c>
      <c r="AR2" s="55">
        <f>AP2-AQ2</f>
        <v>9518349</v>
      </c>
      <c r="AS2" s="54">
        <f>AQ2/AP2*100</f>
        <v>90.543829387927744</v>
      </c>
      <c r="AT2" s="55">
        <f>BÖLCSŐDE!AT2+FALUHÁZ!AT2+ÓVODA!AT2+PMH!AT2+ÖNKORMÁNYZAT!AT2</f>
        <v>88854190</v>
      </c>
      <c r="AU2" s="55">
        <f>AP2-AT2</f>
        <v>11803353</v>
      </c>
      <c r="AV2" s="54">
        <f>AU2/AP2*100</f>
        <v>11.726247877916114</v>
      </c>
      <c r="AW2" s="55">
        <f>BÖLCSŐDE!AW2+FALUHÁZ!AW2+ÓVODA!AW2+PMH!AW2+ÖNKORMÁNYZAT!AW2</f>
        <v>105506545</v>
      </c>
      <c r="AX2" s="55">
        <f>BÖLCSŐDE!AX2+FALUHÁZ!AX2+ÓVODA!AX2+PMH!AX2+ÖNKORMÁNYZAT!AX2</f>
        <v>105506545</v>
      </c>
      <c r="AY2" s="55">
        <f>BÖLCSŐDE!AY2+FALUHÁZ!AY2+ÓVODA!AY2+PMH!AY2+ÖNKORMÁNYZAT!AY2</f>
        <v>105506545</v>
      </c>
      <c r="AZ2" s="55">
        <f>BÖLCSŐDE!AZ2+FALUHÁZ!AZ2+ÓVODA!AZ2+PMH!AZ2+ÖNKORMÁNYZAT!AZ2</f>
        <v>105506545</v>
      </c>
      <c r="BA2" s="55">
        <f>BÖLCSŐDE!BA2+FALUHÁZ!BA2+ÓVODA!BA2+PMH!BA2+ÖNKORMÁNYZAT!BA2</f>
        <v>105506545</v>
      </c>
      <c r="BB2" s="501">
        <f>BÖLCSŐDE!BB2+FALUHÁZ!BB2+ÓVODA!BB2+PMH!BB2+ÖNKORMÁNYZAT!BB2</f>
        <v>104898829</v>
      </c>
      <c r="BC2" s="501">
        <f>BÖLCSŐDE!BC2+FALUHÁZ!BC2+ÓVODA!BC2+PMH!BC2+ÖNKORMÁNYZAT!BC2</f>
        <v>106220459</v>
      </c>
      <c r="BD2" s="501">
        <f>BÖLCSŐDE!BD2+FALUHÁZ!BD2+ÓVODA!BD2+PMH!BD2+ÖNKORMÁNYZAT!BD2</f>
        <v>63732270</v>
      </c>
      <c r="BE2" s="501">
        <f>BÖLCSŐDE!BE2+FALUHÁZ!BE2+ÓVODA!BE2+PMH!BE2+ÖNKORMÁNYZAT!BE2</f>
        <v>80727542</v>
      </c>
      <c r="BF2" s="501">
        <f>BÖLCSŐDE!BF2+FALUHÁZ!BF2+ÓVODA!BF2+PMH!BF2+ÖNKORMÁNYZAT!BF2</f>
        <v>89225178</v>
      </c>
      <c r="BG2" s="383">
        <f>BÖLCSŐDE!BG2+FALUHÁZ!BG2+ÓVODA!BG2+PMH!BG2+ÖNKORMÁNYZAT!BG2</f>
        <v>107070213.60000001</v>
      </c>
      <c r="BH2" s="65">
        <f>BÖLCSŐDE!BH2+FALUHÁZ!BH2+ÓVODA!BH2+PMH!BH2+ÖNKORMÁNYZAT!BH2</f>
        <v>113622480</v>
      </c>
      <c r="BI2" s="65">
        <f>BÖLCSŐDE!BI2+FALUHÁZ!BI2+ÓVODA!BI2+PMH!BI2+ÖNKORMÁNYZAT!BI2</f>
        <v>113622480</v>
      </c>
      <c r="BJ2" s="65">
        <f>BÖLCSŐDE!BJ2+FALUHÁZ!BJ2+ÓVODA!BJ2+PMH!BJ2+ÖNKORMÁNYZAT!BJ2</f>
        <v>57206486</v>
      </c>
      <c r="BK2" s="65">
        <f>BÖLCSŐDE!BK2+FALUHÁZ!BK2+ÓVODA!BK2+PMH!BK2+ÖNKORMÁNYZAT!BK2</f>
        <v>92410478</v>
      </c>
      <c r="BL2" s="65">
        <f>BÖLCSŐDE!BL2+FALUHÁZ!BL2+ÓVODA!BL2+PMH!BL2+ÖNKORMÁNYZAT!BL2</f>
        <v>114630691</v>
      </c>
      <c r="BM2" s="65">
        <f>BÖLCSŐDE!BM2+FALUHÁZ!BM2+ÓVODA!BM2+PMH!BM2+ÖNKORMÁNYZAT!BM2</f>
        <v>163950691</v>
      </c>
      <c r="BN2" s="65">
        <f>BÖLCSŐDE!BN2+FALUHÁZ!BN2+ÓVODA!BN2+PMH!BN2+ÖNKORMÁNYZAT!BN2</f>
        <v>163950691</v>
      </c>
      <c r="BO2" s="65">
        <f>BÖLCSŐDE!BO2+FALUHÁZ!BO2+ÓVODA!BO2+PMH!BO2+ÖNKORMÁNYZAT!BO2</f>
        <v>139973682</v>
      </c>
      <c r="BP2" s="65">
        <f>BÖLCSŐDE!BP2+FALUHÁZ!BP2+ÓVODA!BP2+PMH!BP2+ÖNKORMÁNYZAT!BP2</f>
        <v>163950691</v>
      </c>
      <c r="BQ2" s="65">
        <f>BÖLCSŐDE!BQ2+FALUHÁZ!BQ2+ÓVODA!BQ2+PMH!BQ2+ÖNKORMÁNYZAT!BQ2</f>
        <v>172148225.55000001</v>
      </c>
      <c r="BR2" s="65">
        <f>BÖLCSŐDE!BR2+FALUHÁZ!BR2+ÓVODA!BR2+PMH!BR2+ÖNKORMÁNYZAT!BR2</f>
        <v>172148226</v>
      </c>
      <c r="BS2" s="65">
        <f>BÖLCSŐDE!BS2+FALUHÁZ!BS2+ÓVODA!BS2+PMH!BS2+ÖNKORMÁNYZAT!BS2</f>
        <v>150715736</v>
      </c>
      <c r="BT2" s="65">
        <f>BÖLCSŐDE!BT2+FALUHÁZ!BT2+ÓVODA!BT2+PMH!BT2+ÖNKORMÁNYZAT!BT2</f>
        <v>150715736</v>
      </c>
      <c r="BU2" s="65">
        <f>BÖLCSŐDE!BU2+FALUHÁZ!BU2+ÓVODA!BU2+PMH!BU2+ÖNKORMÁNYZAT!BU2</f>
        <v>149441829</v>
      </c>
      <c r="BV2" s="65">
        <f>BÖLCSŐDE!BV2+FALUHÁZ!BV2+ÓVODA!BV2+PMH!BV2+ÖNKORMÁNYZAT!BV2</f>
        <v>150292500</v>
      </c>
    </row>
    <row r="3" spans="1:74" x14ac:dyDescent="0.25">
      <c r="A3" s="54" t="s">
        <v>9</v>
      </c>
      <c r="B3" s="55" t="s">
        <v>176</v>
      </c>
      <c r="C3" s="55">
        <f>BÖLCSŐDE!C3+FALUHÁZ!C3+ÓVODA!C3+PMH!C3+ÖNKORMÁNYZAT!C3</f>
        <v>58030410</v>
      </c>
      <c r="D3" s="55">
        <f>BÖLCSŐDE!D3+FALUHÁZ!D3+ÓVODA!D3+PMH!D3+ÖNKORMÁNYZAT!D3</f>
        <v>53864670</v>
      </c>
      <c r="E3" s="55">
        <f>BÖLCSŐDE!E3+FALUHÁZ!E3+ÓVODA!E3+PMH!E3+ÖNKORMÁNYZAT!E3</f>
        <v>64406900</v>
      </c>
      <c r="F3" s="55">
        <f>BÖLCSŐDE!F3+FALUHÁZ!F3+ÓVODA!F3+PMH!F3+ÖNKORMÁNYZAT!F3</f>
        <v>55090776</v>
      </c>
      <c r="G3" s="55">
        <f>BÖLCSŐDE!G3+FALUHÁZ!G3+ÓVODA!G3+PMH!G3+ÖNKORMÁNYZAT!G3</f>
        <v>66145456</v>
      </c>
      <c r="H3" s="55">
        <f>BÖLCSŐDE!H3+FALUHÁZ!H3+ÓVODA!H3+PMH!H3+ÖNKORMÁNYZAT!H3</f>
        <v>60113282</v>
      </c>
      <c r="I3" s="55">
        <f t="shared" ref="I3:I77" si="0">H3/11+H3</f>
        <v>65578125.81818182</v>
      </c>
      <c r="J3" s="55">
        <v>64212867</v>
      </c>
      <c r="K3" s="55">
        <v>64212867</v>
      </c>
      <c r="L3" s="55">
        <f>BÖLCSŐDE!L3+FALUHÁZ!L3+ÓVODA!L3+PMH!L3+ÖNKORMÁNYZAT!L3</f>
        <v>64212867</v>
      </c>
      <c r="M3" s="1">
        <f t="shared" ref="M3:M77" si="1">IF(I3&lt;&gt;0,L3/I3*100,0)</f>
        <v>97.918118578187091</v>
      </c>
      <c r="O3" s="55">
        <f>BÖLCSŐDE!O3+FALUHÁZ!N3+ÓVODA!O3+PMH!O3+ÖNKORMÁNYZAT!O3</f>
        <v>64613867</v>
      </c>
      <c r="P3" s="55">
        <f>BÖLCSŐDE!P3+FALUHÁZ!O3+ÓVODA!P3+PMH!P3+ÖNKORMÁNYZAT!P3</f>
        <v>49438917</v>
      </c>
      <c r="Q3" s="55">
        <f>BÖLCSŐDE!Q3+FALUHÁZ!P3+ÓVODA!Q3+PMH!Q3+ÖNKORMÁNYZAT!Q3</f>
        <v>54497234</v>
      </c>
      <c r="R3" s="55">
        <f>BÖLCSŐDE!R3+FALUHÁZ!Q3+ÓVODA!R3+PMH!R3+ÖNKORMÁNYZAT!R3</f>
        <v>57797100</v>
      </c>
      <c r="S3" s="55">
        <f>BÖLCSŐDE!S3+FALUHÁZ!R3+ÓVODA!S3+PMH!S3+ÖNKORMÁNYZAT!S3</f>
        <v>64613867</v>
      </c>
      <c r="T3" s="55">
        <f>BÖLCSŐDE!T3+FALUHÁZ!S3+ÓVODA!T3+PMH!T3+ÖNKORMÁNYZAT!T3</f>
        <v>61005667</v>
      </c>
      <c r="U3" s="55">
        <f>BÖLCSŐDE!U3+FALUHÁZ!T3+ÓVODA!U3+PMH!U3+ÖNKORMÁNYZAT!U3</f>
        <v>57797100</v>
      </c>
      <c r="V3" s="55">
        <f>BÖLCSŐDE!V3+FALUHÁZ!U3+ÓVODA!V3+PMH!V3+ÖNKORMÁNYZAT!V3</f>
        <v>57797100</v>
      </c>
      <c r="W3" s="55">
        <f>BÖLCSŐDE!W3+FALUHÁZ!V3+ÓVODA!W3+PMH!W3+ÖNKORMÁNYZAT!W3</f>
        <v>57797100</v>
      </c>
      <c r="X3" s="122">
        <f t="shared" ref="X3:X76" si="2">T3/V3*100</f>
        <v>105.55143251131977</v>
      </c>
      <c r="AA3" s="55">
        <f>BÖLCSŐDE!AA3+FALUHÁZ!Z3+ÓVODA!AA3+PMH!AA3+ÖNKORMÁNYZAT!AA3</f>
        <v>57797100</v>
      </c>
      <c r="AB3" s="55">
        <f>BÖLCSŐDE!AB3+FALUHÁZ!AA3+ÓVODA!AB3+PMH!AB3+ÖNKORMÁNYZAT!AB3</f>
        <v>29263639</v>
      </c>
      <c r="AC3" s="55">
        <f>BÖLCSŐDE!AB3+FALUHÁZ!AA3+ÓVODA!AB3+PMH!AB3+ÖNKORMÁNYZAT!AB3</f>
        <v>29263639</v>
      </c>
      <c r="AD3" s="55">
        <f>BÖLCSŐDE!AC3+FALUHÁZ!AB3+ÓVODA!AC3+PMH!AC3+ÖNKORMÁNYZAT!AC3</f>
        <v>39506403</v>
      </c>
      <c r="AE3" s="223">
        <f>BÖLCSŐDE!AE3+FALUHÁZ!AD3+ÓVODA!AE3+PMH!AE3+ÖNKORMÁNYZAT!AD3</f>
        <v>44322828</v>
      </c>
      <c r="AF3" s="122">
        <f t="shared" ref="AF3:AF72" si="3">AD3/AA3*100</f>
        <v>68.353607706961071</v>
      </c>
      <c r="AG3" s="55">
        <f>BÖLCSŐDE!AG3+FALUHÁZ!AG3+ÓVODA!AG3+PMH!AG3+ÖNKORMÁNYZAT!AG3</f>
        <v>49139253</v>
      </c>
      <c r="AH3" s="55"/>
      <c r="AI3" s="55">
        <f>BÖLCSŐDE!AI3+FALUHÁZ!AJ3+ÓVODA!AI3+PMH!AI3+ÖNKORMÁNYZAT!AI3</f>
        <v>60146445.671999998</v>
      </c>
      <c r="AJ3" s="55"/>
      <c r="AK3" s="55">
        <f>BÖLCSŐDE!AL3+FALUHÁZ!AK3+ÓVODA!AK3+PMH!AK3+ÖNKORMÁNYZAT!AK3</f>
        <v>64073150</v>
      </c>
      <c r="AM3" s="55">
        <f>BÖLCSŐDE!AM3+FALUHÁZ!AM3+ÓVODA!AM3+PMH!AM3+ÖNKORMÁNYZAT!AM3</f>
        <v>60441617</v>
      </c>
      <c r="AN3" s="55">
        <f>BÖLCSŐDE!AN3+FALUHÁZ!AN3+ÓVODA!AP3+PMH!AN3+ÖNKORMÁNYZAT!AP3</f>
        <v>64073150</v>
      </c>
      <c r="AO3" s="55">
        <f>BÖLCSŐDE!AO3+FALUHÁZ!AO3+ÓVODA!AQ3+PMH!AO3+ÖNKORMÁNYZAT!AQ3</f>
        <v>48914168</v>
      </c>
      <c r="AP3" s="55">
        <f>BÖLCSŐDE!AP3+FALUHÁZ!AP3+ÓVODA!AP3+PMH!AP3+ÖNKORMÁNYZAT!AP3</f>
        <v>64073150</v>
      </c>
      <c r="AQ3" s="55">
        <f>BÖLCSŐDE!AQ3+FALUHÁZ!AQ3+ÓVODA!AQ3+PMH!AQ3+ÖNKORMÁNYZAT!AQ3</f>
        <v>48914168</v>
      </c>
      <c r="AR3" s="55">
        <f t="shared" ref="AR3:AR71" si="4">AP3-AQ3</f>
        <v>15158982</v>
      </c>
      <c r="AS3" s="54">
        <f t="shared" ref="AS3:AS70" si="5">AQ3/AP3*100</f>
        <v>76.341131971816594</v>
      </c>
      <c r="AT3" s="55">
        <f>BÖLCSŐDE!AT3+FALUHÁZ!AT3+ÓVODA!AT3+PMH!AT3+ÖNKORMÁNYZAT!AT3</f>
        <v>58185358</v>
      </c>
      <c r="AU3" s="55">
        <f t="shared" ref="AU3:AU70" si="6">AP3-AT3</f>
        <v>5887792</v>
      </c>
      <c r="AV3" s="54">
        <f t="shared" ref="AV3:AV70" si="7">AU3/AP3*100</f>
        <v>9.1891720634930554</v>
      </c>
      <c r="AW3" s="55">
        <f>BÖLCSŐDE!AW3+FALUHÁZ!AW3+ÓVODA!AW3+PMH!AW3+ÖNKORMÁNYZAT!AW3</f>
        <v>78073720</v>
      </c>
      <c r="AX3" s="55">
        <f>BÖLCSŐDE!AX3+FALUHÁZ!AX3+ÓVODA!AX3+PMH!AX3+ÖNKORMÁNYZAT!AX3</f>
        <v>78073720</v>
      </c>
      <c r="AY3" s="55">
        <f>BÖLCSŐDE!AY3+FALUHÁZ!AY3+ÓVODA!AY3+PMH!AY3+ÖNKORMÁNYZAT!AY3</f>
        <v>78073720</v>
      </c>
      <c r="AZ3" s="55">
        <f>BÖLCSŐDE!AZ3+FALUHÁZ!AZ3+ÓVODA!AZ3+PMH!AZ3+ÖNKORMÁNYZAT!AZ3</f>
        <v>78073720</v>
      </c>
      <c r="BA3" s="55">
        <f>BÖLCSŐDE!BA3+FALUHÁZ!BA3+ÓVODA!BA3+PMH!BA3+ÖNKORMÁNYZAT!BA3</f>
        <v>78073720</v>
      </c>
      <c r="BB3" s="501">
        <f>BÖLCSŐDE!BB3+FALUHÁZ!BB3+ÓVODA!BB3+PMH!BB3+ÖNKORMÁNYZAT!BB3</f>
        <v>73806400</v>
      </c>
      <c r="BC3" s="501">
        <f>BÖLCSŐDE!BC3+FALUHÁZ!BC3+ÓVODA!BC3+PMH!BC3+ÖNKORMÁNYZAT!BC3</f>
        <v>76399900</v>
      </c>
      <c r="BD3" s="501">
        <f>BÖLCSŐDE!BD3+FALUHÁZ!BD3+ÓVODA!BD3+PMH!BD3+ÖNKORMÁNYZAT!BD3</f>
        <v>45563440</v>
      </c>
      <c r="BE3" s="501">
        <f>BÖLCSŐDE!BE3+FALUHÁZ!BE3+ÓVODA!BE3+PMH!BE3+ÖNKORMÁNYZAT!BE3</f>
        <v>57234424</v>
      </c>
      <c r="BF3" s="501">
        <f>BÖLCSŐDE!BF3+FALUHÁZ!BF3+ÓVODA!BF3+PMH!BF3+ÖNKORMÁNYZAT!BF3</f>
        <v>63069916</v>
      </c>
      <c r="BG3" s="383">
        <f>BÖLCSŐDE!BG3+FALUHÁZ!BG3+ÓVODA!BG3+PMH!BG3+ÖNKORMÁNYZAT!BG3</f>
        <v>75683899.199999988</v>
      </c>
      <c r="BH3" s="65">
        <f>BÖLCSŐDE!BH3+FALUHÁZ!BH3+ÓVODA!BH3+PMH!BH3+ÖNKORMÁNYZAT!BH3</f>
        <v>83510780</v>
      </c>
      <c r="BI3" s="65">
        <f>BÖLCSŐDE!BI3+FALUHÁZ!BI3+ÓVODA!BI3+PMH!BI3+ÖNKORMÁNYZAT!BI3</f>
        <v>83510780</v>
      </c>
      <c r="BJ3" s="65">
        <f>BÖLCSŐDE!BJ3+FALUHÁZ!BJ3+ÓVODA!BJ3+PMH!BJ3+ÖNKORMÁNYZAT!BJ3</f>
        <v>43429764</v>
      </c>
      <c r="BK3" s="65">
        <f>BÖLCSŐDE!BK3+FALUHÁZ!BK3+ÓVODA!BK3+PMH!BK3+ÖNKORMÁNYZAT!BK3</f>
        <v>70155772</v>
      </c>
      <c r="BL3" s="65">
        <f>BÖLCSŐDE!BL3+FALUHÁZ!BL3+ÓVODA!BL3+PMH!BL3+ÖNKORMÁNYZAT!BL3</f>
        <v>91373520</v>
      </c>
      <c r="BM3" s="65">
        <f>BÖLCSŐDE!BM3+FALUHÁZ!BM3+ÓVODA!BM3+PMH!BM3+ÖNKORMÁNYZAT!BM3</f>
        <v>119743520</v>
      </c>
      <c r="BN3" s="65">
        <f>BÖLCSŐDE!BN3+FALUHÁZ!BN3+ÓVODA!BN3+PMH!BN3+ÖNKORMÁNYZAT!BN3</f>
        <v>119743520</v>
      </c>
      <c r="BO3" s="65">
        <f>BÖLCSŐDE!BO3+FALUHÁZ!BO3+ÓVODA!BO3+PMH!BO3+ÖNKORMÁNYZAT!BO3</f>
        <v>115972471</v>
      </c>
      <c r="BP3" s="65">
        <f>BÖLCSŐDE!BP3+FALUHÁZ!BP3+ÓVODA!BP3+PMH!BP3+ÖNKORMÁNYZAT!BP3</f>
        <v>119743520</v>
      </c>
      <c r="BQ3" s="65">
        <f>BÖLCSŐDE!BQ3+FALUHÁZ!BQ3+ÓVODA!BQ3+PMH!BQ3+ÖNKORMÁNYZAT!BQ3</f>
        <v>125730696</v>
      </c>
      <c r="BR3" s="65">
        <f>BÖLCSŐDE!BR3+FALUHÁZ!BR3+ÓVODA!BR3+PMH!BR3+ÖNKORMÁNYZAT!BR3</f>
        <v>125730696</v>
      </c>
      <c r="BS3" s="65">
        <f>BÖLCSŐDE!BS3+FALUHÁZ!BS3+ÓVODA!BS3+PMH!BS3+ÖNKORMÁNYZAT!BS3</f>
        <v>141805504</v>
      </c>
      <c r="BT3" s="65">
        <f>BÖLCSŐDE!BT3+FALUHÁZ!BT3+ÓVODA!BT3+PMH!BT3+ÖNKORMÁNYZAT!BT3</f>
        <v>141805504</v>
      </c>
      <c r="BU3" s="65">
        <f>BÖLCSŐDE!BU3+FALUHÁZ!BU3+ÓVODA!BU3+PMH!BU3+ÖNKORMÁNYZAT!BU3</f>
        <v>182485562</v>
      </c>
      <c r="BV3" s="65">
        <f>BÖLCSŐDE!BV3+FALUHÁZ!BV3+ÓVODA!BV3+PMH!BV3+ÖNKORMÁNYZAT!BV3</f>
        <v>182451008</v>
      </c>
    </row>
    <row r="4" spans="1:74" x14ac:dyDescent="0.25">
      <c r="A4" s="54" t="s">
        <v>584</v>
      </c>
      <c r="B4" s="55" t="s">
        <v>177</v>
      </c>
      <c r="C4" s="55">
        <f>BÖLCSŐDE!C4+FALUHÁZ!C4+ÓVODA!C4+PMH!C4+ÖNKORMÁNYZAT!C4</f>
        <v>62323977</v>
      </c>
      <c r="D4" s="55">
        <f>BÖLCSŐDE!D4+FALUHÁZ!D4+ÓVODA!D4+PMH!D4+ÖNKORMÁNYZAT!D4</f>
        <v>59561892</v>
      </c>
      <c r="E4" s="55">
        <f>BÖLCSŐDE!E4+FALUHÁZ!E4+ÓVODA!E4+PMH!E4+ÖNKORMÁNYZAT!E4</f>
        <v>67735094</v>
      </c>
      <c r="F4" s="55">
        <f>BÖLCSŐDE!F4+FALUHÁZ!F4+ÓVODA!F4+PMH!F4+ÖNKORMÁNYZAT!F4</f>
        <v>67925614</v>
      </c>
      <c r="G4" s="55">
        <f>BÖLCSŐDE!G4+FALUHÁZ!G4+ÓVODA!G4+PMH!G4+ÖNKORMÁNYZAT!G4</f>
        <v>68849370</v>
      </c>
      <c r="H4" s="55">
        <f>BÖLCSŐDE!H4+FALUHÁZ!H4+ÓVODA!H4+PMH!H4+ÖNKORMÁNYZAT!H4</f>
        <v>74401031</v>
      </c>
      <c r="I4" s="55">
        <f t="shared" si="0"/>
        <v>81164761.090909094</v>
      </c>
      <c r="J4" s="55">
        <v>66636770</v>
      </c>
      <c r="K4" s="55">
        <v>81636770</v>
      </c>
      <c r="L4" s="65">
        <f>BÖLCSŐDE!L4+FALUHÁZ!L4+ÓVODA!L4+PMH!L4+ÖNKORMÁNYZAT!L4</f>
        <v>81636770</v>
      </c>
      <c r="M4" s="1">
        <f t="shared" si="1"/>
        <v>100.58154413657698</v>
      </c>
      <c r="O4" s="55">
        <f>BÖLCSŐDE!O4+FALUHÁZ!N4+ÓVODA!O4+PMH!O4+ÖNKORMÁNYZAT!O4</f>
        <v>79992483</v>
      </c>
      <c r="P4" s="55">
        <f>BÖLCSŐDE!P4+FALUHÁZ!O4+ÓVODA!P4+PMH!P4+ÖNKORMÁNYZAT!P4</f>
        <v>59000197</v>
      </c>
      <c r="Q4" s="55">
        <f>BÖLCSŐDE!Q4+FALUHÁZ!P4+ÓVODA!Q4+PMH!Q4+ÖNKORMÁNYZAT!Q4</f>
        <v>65213794</v>
      </c>
      <c r="R4" s="55">
        <f>BÖLCSŐDE!R4+FALUHÁZ!Q4+ÓVODA!R4+PMH!R4+ÖNKORMÁNYZAT!R4</f>
        <v>70880660</v>
      </c>
      <c r="S4" s="55">
        <f>BÖLCSŐDE!S4+FALUHÁZ!R4+ÓVODA!S4+PMH!S4+ÖNKORMÁNYZAT!S4</f>
        <v>77587767</v>
      </c>
      <c r="T4" s="55">
        <f>BÖLCSŐDE!T4+FALUHÁZ!S4+ÓVODA!T4+PMH!T4+ÖNKORMÁNYZAT!T4</f>
        <v>76267408</v>
      </c>
      <c r="U4" s="55">
        <f>BÖLCSŐDE!U4+FALUHÁZ!T4+ÓVODA!U4+PMH!U4+ÖNKORMÁNYZAT!U4</f>
        <v>70880660</v>
      </c>
      <c r="V4" s="55">
        <f>BÖLCSŐDE!V4+FALUHÁZ!U4+ÓVODA!V4+PMH!V4+ÖNKORMÁNYZAT!V4</f>
        <v>70880660</v>
      </c>
      <c r="W4" s="55">
        <f>BÖLCSŐDE!W4+FALUHÁZ!V4+ÓVODA!W4+PMH!W4+ÖNKORMÁNYZAT!W4</f>
        <v>70880660</v>
      </c>
      <c r="X4" s="122">
        <f t="shared" si="2"/>
        <v>107.59974300465036</v>
      </c>
      <c r="AA4" s="55">
        <f>BÖLCSŐDE!AA4+FALUHÁZ!Z4+ÓVODA!AA4+PMH!AA4+ÖNKORMÁNYZAT!AA4</f>
        <v>76867772</v>
      </c>
      <c r="AB4" s="55">
        <f>BÖLCSŐDE!AB4+FALUHÁZ!AA4+ÓVODA!AB4+PMH!AB4+ÖNKORMÁNYZAT!AB4</f>
        <v>40279158</v>
      </c>
      <c r="AC4" s="55">
        <f>BÖLCSŐDE!AB4+FALUHÁZ!AA4+ÓVODA!AB4+PMH!AB4+ÖNKORMÁNYZAT!AB4</f>
        <v>40279158</v>
      </c>
      <c r="AD4" s="55">
        <f>BÖLCSŐDE!AC4+FALUHÁZ!AB4+ÓVODA!AC4+PMH!AC4+ÖNKORMÁNYZAT!AC4</f>
        <v>54464182</v>
      </c>
      <c r="AE4" s="223">
        <f>BÖLCSŐDE!AE4+FALUHÁZ!AD4+ÓVODA!AE4+PMH!AE4+ÖNKORMÁNYZAT!AD4</f>
        <v>60699420</v>
      </c>
      <c r="AF4" s="122">
        <f t="shared" si="3"/>
        <v>70.854378347274078</v>
      </c>
      <c r="AG4" s="55">
        <f>BÖLCSŐDE!AG4+FALUHÁZ!AG4+ÓVODA!AG4+PMH!AG4+ÖNKORMÁNYZAT!AG4</f>
        <v>66934659</v>
      </c>
      <c r="AH4" s="55"/>
      <c r="AI4" s="55">
        <f>BÖLCSŐDE!AI4+FALUHÁZ!AJ4+ÓVODA!AI4+PMH!AI4+ÖNKORMÁNYZAT!AI4</f>
        <v>81928022.616000012</v>
      </c>
      <c r="AJ4" s="55"/>
      <c r="AK4" s="55">
        <f>BÖLCSŐDE!AL4+FALUHÁZ!AK4+ÓVODA!AK4+PMH!AK4+ÖNKORMÁNYZAT!AK4</f>
        <v>76920150</v>
      </c>
      <c r="AM4" s="55">
        <f>BÖLCSŐDE!AM4+FALUHÁZ!AM4+ÓVODA!AM4+PMH!AM4+ÖNKORMÁNYZAT!AM4</f>
        <v>78789345</v>
      </c>
      <c r="AN4" s="55">
        <f>BÖLCSŐDE!AN4+FALUHÁZ!AN4+ÓVODA!AP4+PMH!AN4+ÖNKORMÁNYZAT!AP4</f>
        <v>76920150</v>
      </c>
      <c r="AO4" s="55">
        <f>BÖLCSŐDE!AO4+FALUHÁZ!AO4+ÓVODA!AQ4+PMH!AO4+ÖNKORMÁNYZAT!AQ4</f>
        <v>58207961</v>
      </c>
      <c r="AP4" s="55">
        <f>BÖLCSŐDE!AP4+FALUHÁZ!AP4+ÓVODA!AP4+PMH!AP4+ÖNKORMÁNYZAT!AP4</f>
        <v>76920150</v>
      </c>
      <c r="AQ4" s="55">
        <f>BÖLCSŐDE!AQ4+FALUHÁZ!AQ4+ÓVODA!AQ4+PMH!AQ4+ÖNKORMÁNYZAT!AQ4</f>
        <v>58207961</v>
      </c>
      <c r="AR4" s="55">
        <f t="shared" si="4"/>
        <v>18712189</v>
      </c>
      <c r="AS4" s="54">
        <f t="shared" si="5"/>
        <v>75.673228666350752</v>
      </c>
      <c r="AT4" s="55">
        <f>BÖLCSŐDE!AT4+FALUHÁZ!AT4+ÓVODA!AT4+PMH!AT4+ÖNKORMÁNYZAT!AT4</f>
        <v>65700187</v>
      </c>
      <c r="AU4" s="55">
        <f t="shared" si="6"/>
        <v>11219963</v>
      </c>
      <c r="AV4" s="54">
        <f t="shared" si="7"/>
        <v>14.586506916588176</v>
      </c>
      <c r="AW4" s="55">
        <f>BÖLCSŐDE!AW4+FALUHÁZ!AW4+ÓVODA!AW4+PMH!AW4+ÖNKORMÁNYZAT!AW4</f>
        <v>35777578</v>
      </c>
      <c r="AX4" s="55">
        <f>BÖLCSŐDE!AX4+FALUHÁZ!AX4+ÓVODA!AX4+PMH!AX4+ÖNKORMÁNYZAT!AX4</f>
        <v>35777578</v>
      </c>
      <c r="AY4" s="55">
        <f>BÖLCSŐDE!AY4+FALUHÁZ!AY4+ÓVODA!AY4+PMH!AY4+ÖNKORMÁNYZAT!AY4+10000000</f>
        <v>45777578</v>
      </c>
      <c r="AZ4" s="55">
        <f>BÖLCSŐDE!AZ4+FALUHÁZ!AZ4+ÓVODA!AZ4+PMH!AZ4+ÖNKORMÁNYZAT!AZ4</f>
        <v>45777578</v>
      </c>
      <c r="BA4" s="55">
        <f>BÖLCSŐDE!BA4+FALUHÁZ!BA4+ÓVODA!BA4+PMH!BA4+ÖNKORMÁNYZAT!BA4+10000000</f>
        <v>55777578</v>
      </c>
      <c r="BB4" s="501">
        <f>BÖLCSŐDE!BB4+FALUHÁZ!BB4+ÓVODA!BB4+PMH!BB4+ÖNKORMÁNYZAT!BB4</f>
        <v>33779520</v>
      </c>
      <c r="BC4" s="501">
        <f>BÖLCSŐDE!BC4+FALUHÁZ!BC4+ÓVODA!BC4+PMH!BC4+ÖNKORMÁNYZAT!BC4</f>
        <v>34222203</v>
      </c>
      <c r="BD4" s="501">
        <f>BÖLCSŐDE!BD4+FALUHÁZ!BD4+ÓVODA!BD4+PMH!BD4+ÖNKORMÁNYZAT!BD4</f>
        <v>24657588</v>
      </c>
      <c r="BE4" s="501">
        <f>BÖLCSŐDE!BE4+FALUHÁZ!BE4+ÓVODA!BE4+PMH!BE4+ÖNKORMÁNYZAT!BE4</f>
        <v>37995483</v>
      </c>
      <c r="BF4" s="501">
        <f>BÖLCSŐDE!BF4+FALUHÁZ!BF4+ÓVODA!BF4+PMH!BF4+ÖNKORMÁNYZAT!BF4</f>
        <v>44664955</v>
      </c>
      <c r="BG4" s="383">
        <f>BÖLCSŐDE!BG4+FALUHÁZ!BG4+ÓVODA!BG4+PMH!BG4+ÖNKORMÁNYZAT!BG4</f>
        <v>53597946</v>
      </c>
      <c r="BH4" s="65">
        <f>BÖLCSŐDE!BH4+FALUHÁZ!BH4+ÓVODA!BH4+PMH!BH4+ÖNKORMÁNYZAT!BH4</f>
        <v>61191374</v>
      </c>
      <c r="BI4" s="65">
        <f>BÖLCSŐDE!BI4+FALUHÁZ!BI4+ÓVODA!BI4+PMH!BI4+ÖNKORMÁNYZAT!BI4</f>
        <v>61191374</v>
      </c>
      <c r="BJ4" s="65">
        <f>BÖLCSŐDE!BJ4+FALUHÁZ!BJ4+ÓVODA!BJ4+PMH!BJ4+ÖNKORMÁNYZAT!BJ4</f>
        <v>32283725</v>
      </c>
      <c r="BK4" s="65">
        <f>BÖLCSŐDE!BK4+FALUHÁZ!BK4+ÓVODA!BK4+PMH!BK4+ÖNKORMÁNYZAT!BK4</f>
        <v>52774918</v>
      </c>
      <c r="BL4" s="65">
        <f>BÖLCSŐDE!BL4+FALUHÁZ!BL4+ÓVODA!BL4+PMH!BL4+ÖNKORMÁNYZAT!BL4</f>
        <v>63329901.599999994</v>
      </c>
      <c r="BM4" s="65">
        <f>BÖLCSŐDE!BM4+FALUHÁZ!BM4+ÓVODA!BM4+PMH!BM4+ÖNKORMÁNYZAT!BM4</f>
        <v>80985312</v>
      </c>
      <c r="BN4" s="65">
        <f>BÖLCSŐDE!BN4+FALUHÁZ!BN4+ÓVODA!BN4+PMH!BN4+ÖNKORMÁNYZAT!BN4</f>
        <v>80985312</v>
      </c>
      <c r="BO4" s="65">
        <f>BÖLCSŐDE!BO4+FALUHÁZ!BO4+ÓVODA!BO4+PMH!BO4+ÖNKORMÁNYZAT!BO4</f>
        <v>77409108</v>
      </c>
      <c r="BP4" s="65">
        <f>BÖLCSŐDE!BP4+FALUHÁZ!BP4+ÓVODA!BP4+PMH!BP4+ÖNKORMÁNYZAT!BP4</f>
        <v>80985312</v>
      </c>
      <c r="BQ4" s="65">
        <f>BÖLCSŐDE!BQ4+FALUHÁZ!BQ4+ÓVODA!BQ4+PMH!BQ4+ÖNKORMÁNYZAT!BQ4</f>
        <v>85034577.600000009</v>
      </c>
      <c r="BR4" s="65">
        <f>BÖLCSŐDE!BR4+FALUHÁZ!BR4+ÓVODA!BR4+PMH!BR4+ÖNKORMÁNYZAT!BR4</f>
        <v>85034578</v>
      </c>
      <c r="BS4" s="65">
        <f>BÖLCSŐDE!BS4+FALUHÁZ!BS4+ÓVODA!BS4+PMH!BS4+ÖNKORMÁNYZAT!BS4</f>
        <v>87410448</v>
      </c>
      <c r="BT4" s="65">
        <f>BÖLCSŐDE!BT4+FALUHÁZ!BT4+ÓVODA!BT4+PMH!BT4+ÖNKORMÁNYZAT!BT4</f>
        <v>87410448</v>
      </c>
      <c r="BU4" s="65">
        <f>BÖLCSŐDE!BU4+FALUHÁZ!BU4+ÓVODA!BU4+PMH!BU4+ÖNKORMÁNYZAT!BU4</f>
        <v>146805625</v>
      </c>
      <c r="BV4" s="65">
        <f>BÖLCSŐDE!BV4+FALUHÁZ!BV4+ÓVODA!BV4+PMH!BV4+ÖNKORMÁNYZAT!BV4</f>
        <v>84549116</v>
      </c>
    </row>
    <row r="5" spans="1:74" x14ac:dyDescent="0.25">
      <c r="A5" s="54" t="s">
        <v>585</v>
      </c>
      <c r="B5" s="55" t="s">
        <v>586</v>
      </c>
      <c r="C5" s="55"/>
      <c r="D5" s="55"/>
      <c r="E5" s="55"/>
      <c r="F5" s="55"/>
      <c r="G5" s="55"/>
      <c r="H5" s="55"/>
      <c r="I5" s="55"/>
      <c r="J5" s="55"/>
      <c r="K5" s="55"/>
      <c r="L5" s="65"/>
      <c r="O5" s="55"/>
      <c r="P5" s="55"/>
      <c r="Q5" s="55"/>
      <c r="R5" s="55"/>
      <c r="S5" s="55"/>
      <c r="T5" s="55"/>
      <c r="U5" s="55"/>
      <c r="V5" s="55"/>
      <c r="W5" s="55"/>
      <c r="X5" s="122"/>
      <c r="AA5" s="55"/>
      <c r="AB5" s="55"/>
      <c r="AC5" s="55"/>
      <c r="AD5" s="55"/>
      <c r="AE5" s="223"/>
      <c r="AF5" s="122"/>
      <c r="AG5" s="55"/>
      <c r="AH5" s="55"/>
      <c r="AI5" s="55"/>
      <c r="AJ5" s="55"/>
      <c r="AK5" s="55"/>
      <c r="AM5" s="55"/>
      <c r="AN5" s="55"/>
      <c r="AO5" s="55"/>
      <c r="AP5" s="55"/>
      <c r="AQ5" s="55"/>
      <c r="AR5" s="55"/>
      <c r="AS5" s="54"/>
      <c r="AT5" s="55"/>
      <c r="AU5" s="55"/>
      <c r="AV5" s="54"/>
      <c r="AW5" s="55">
        <f>BÖLCSŐDE!AW5+FALUHÁZ!AW5+ÓVODA!AW5+PMH!AW5+ÖNKORMÁNYZAT!AW5</f>
        <v>40574664</v>
      </c>
      <c r="AX5" s="55">
        <f>BÖLCSŐDE!AX5+FALUHÁZ!AX5+ÓVODA!AX5+PMH!AX5+ÖNKORMÁNYZAT!AX5</f>
        <v>40574664</v>
      </c>
      <c r="AY5" s="55">
        <f>BÖLCSŐDE!AY5+FALUHÁZ!AY5+ÓVODA!AY5+PMH!AY5+ÖNKORMÁNYZAT!AY5</f>
        <v>40574664</v>
      </c>
      <c r="AZ5" s="55">
        <f>BÖLCSŐDE!AZ5+FALUHÁZ!AZ5+ÓVODA!AZ5+PMH!AZ5+ÖNKORMÁNYZAT!AZ5</f>
        <v>40574664</v>
      </c>
      <c r="BA5" s="55">
        <f>BÖLCSŐDE!BA5+FALUHÁZ!BA5+ÓVODA!BA5+PMH!BA5+ÖNKORMÁNYZAT!BA5</f>
        <v>40574664</v>
      </c>
      <c r="BB5" s="501">
        <f>BÖLCSŐDE!BB5+FALUHÁZ!BB5+ÓVODA!BB5+PMH!BB5+ÖNKORMÁNYZAT!BB5</f>
        <v>40019251</v>
      </c>
      <c r="BC5" s="501">
        <f>BÖLCSŐDE!BC5+FALUHÁZ!BC5+ÓVODA!BC5+PMH!BC5+ÖNKORMÁNYZAT!BC5</f>
        <v>40415071</v>
      </c>
      <c r="BD5" s="501">
        <f>BÖLCSŐDE!BD5+FALUHÁZ!BD5+ÓVODA!BD5+PMH!BD5+ÖNKORMÁNYZAT!BD5</f>
        <v>24106155</v>
      </c>
      <c r="BE5" s="501">
        <f>BÖLCSŐDE!BE5+FALUHÁZ!BE5+ÓVODA!BE5+PMH!BE5+ÖNKORMÁNYZAT!BE5</f>
        <v>30286787</v>
      </c>
      <c r="BF5" s="501">
        <f>BÖLCSŐDE!BF5+FALUHÁZ!BF5+ÓVODA!BF5+PMH!BF5+ÖNKORMÁNYZAT!BF5</f>
        <v>33377103</v>
      </c>
      <c r="BG5" s="383">
        <f>BÖLCSŐDE!BG5+FALUHÁZ!BG5+ÓVODA!BG5+PMH!BG5+ÖNKORMÁNYZAT!BG5</f>
        <v>40052523.599999994</v>
      </c>
      <c r="BH5" s="65">
        <f>BÖLCSŐDE!BH5+FALUHÁZ!BH5+ÓVODA!BH5+PMH!BH5+ÖNKORMÁNYZAT!BH5</f>
        <v>40873523</v>
      </c>
      <c r="BI5" s="65">
        <f>BÖLCSŐDE!BI5+FALUHÁZ!BI5+ÓVODA!BI5+PMH!BI5+ÖNKORMÁNYZAT!BI5</f>
        <v>40873523</v>
      </c>
      <c r="BJ5" s="65">
        <f>BÖLCSŐDE!BJ5+FALUHÁZ!BJ5+ÓVODA!BJ5+PMH!BJ5+ÖNKORMÁNYZAT!BJ5</f>
        <v>21254233</v>
      </c>
      <c r="BK5" s="65">
        <f>BÖLCSŐDE!BK5+FALUHÁZ!BK5+ÓVODA!BK5+PMH!BK5+ÖNKORMÁNYZAT!BK5</f>
        <v>33121473</v>
      </c>
      <c r="BL5" s="65">
        <f>BÖLCSŐDE!BL5+FALUHÁZ!BL5+ÓVODA!BL5+PMH!BL5+ÖNKORMÁNYZAT!BL5</f>
        <v>39745767.599999994</v>
      </c>
      <c r="BM5" s="65">
        <f>BÖLCSŐDE!BM5+FALUHÁZ!BM5+ÓVODA!BM5+PMH!BM5+ÖNKORMÁNYZAT!BM5</f>
        <v>57769614</v>
      </c>
      <c r="BN5" s="65">
        <f>BÖLCSŐDE!BN5+FALUHÁZ!BN5+ÓVODA!BN5+PMH!BN5+ÖNKORMÁNYZAT!BN5</f>
        <v>57769614</v>
      </c>
      <c r="BO5" s="65">
        <f>BÖLCSŐDE!BO5+FALUHÁZ!BO5+ÓVODA!BO5+PMH!BO5+ÖNKORMÁNYZAT!BO5</f>
        <v>55272486</v>
      </c>
      <c r="BP5" s="65">
        <f>BÖLCSŐDE!BP5+FALUHÁZ!BP5+ÓVODA!BP5+PMH!BP5+ÖNKORMÁNYZAT!BP5</f>
        <v>57769614</v>
      </c>
      <c r="BQ5" s="65">
        <f>BÖLCSŐDE!BQ5+FALUHÁZ!BQ5+ÓVODA!BQ5+PMH!BQ5+ÖNKORMÁNYZAT!BQ5</f>
        <v>60658094.700000003</v>
      </c>
      <c r="BR5" s="65">
        <f>BÖLCSŐDE!BR5+FALUHÁZ!BR5+ÓVODA!BR5+PMH!BR5+ÖNKORMÁNYZAT!BR5</f>
        <v>60658095</v>
      </c>
      <c r="BS5" s="65">
        <f>BÖLCSŐDE!BS5+FALUHÁZ!BS5+ÓVODA!BS5+PMH!BS5+ÖNKORMÁNYZAT!BS5</f>
        <v>79384359</v>
      </c>
      <c r="BT5" s="65">
        <f>BÖLCSŐDE!BT5+FALUHÁZ!BT5+ÓVODA!BT5+PMH!BT5+ÖNKORMÁNYZAT!BT5</f>
        <v>79384359</v>
      </c>
      <c r="BU5" s="65">
        <f>BÖLCSŐDE!BU5+FALUHÁZ!BU5+ÓVODA!BU5+PMH!BU5+ÖNKORMÁNYZAT!BU5</f>
        <v>6802762</v>
      </c>
      <c r="BV5" s="65">
        <f>BÖLCSŐDE!BV5+FALUHÁZ!BV5+ÓVODA!BV5+PMH!BV5+ÖNKORMÁNYZAT!BV5</f>
        <v>64503601</v>
      </c>
    </row>
    <row r="6" spans="1:74" x14ac:dyDescent="0.25">
      <c r="A6" s="54" t="s">
        <v>10</v>
      </c>
      <c r="B6" s="55" t="s">
        <v>178</v>
      </c>
      <c r="C6" s="55">
        <f>BÖLCSŐDE!C6+FALUHÁZ!C6+ÓVODA!C6+PMH!C6+ÖNKORMÁNYZAT!C6</f>
        <v>2933220</v>
      </c>
      <c r="D6" s="55">
        <f>BÖLCSŐDE!D6+FALUHÁZ!D6+ÓVODA!D6+PMH!D6+ÖNKORMÁNYZAT!D6</f>
        <v>2698567</v>
      </c>
      <c r="E6" s="55">
        <f>BÖLCSŐDE!E6+FALUHÁZ!E6+ÓVODA!E6+PMH!E6+ÖNKORMÁNYZAT!E6</f>
        <v>2983380</v>
      </c>
      <c r="F6" s="55">
        <f>BÖLCSŐDE!F6+FALUHÁZ!F6+ÓVODA!F6+PMH!F6+ÖNKORMÁNYZAT!F6</f>
        <v>3098210</v>
      </c>
      <c r="G6" s="55">
        <f>BÖLCSŐDE!G6+FALUHÁZ!G6+ÓVODA!G6+PMH!G6+ÖNKORMÁNYZAT!G6</f>
        <v>3377183</v>
      </c>
      <c r="H6" s="55">
        <f>BÖLCSŐDE!H6+FALUHÁZ!H6+ÓVODA!H6+PMH!H6+ÖNKORMÁNYZAT!H6</f>
        <v>3403005</v>
      </c>
      <c r="I6" s="55">
        <f t="shared" si="0"/>
        <v>3712369.0909090908</v>
      </c>
      <c r="J6" s="55">
        <v>3230700</v>
      </c>
      <c r="K6" s="55">
        <v>3230700</v>
      </c>
      <c r="L6" s="55">
        <f>BÖLCSŐDE!L6+FALUHÁZ!L6+ÓVODA!L6+PMH!L6+ÖNKORMÁNYZAT!L6</f>
        <v>3230700</v>
      </c>
      <c r="M6" s="1">
        <f t="shared" si="1"/>
        <v>87.025290882616986</v>
      </c>
      <c r="O6" s="55">
        <f>BÖLCSŐDE!O6+FALUHÁZ!N6+ÓVODA!O6+PMH!O6+ÖNKORMÁNYZAT!O6</f>
        <v>3436761</v>
      </c>
      <c r="P6" s="55">
        <f>BÖLCSŐDE!P6+FALUHÁZ!O6+ÓVODA!P6+PMH!P6+ÖNKORMÁNYZAT!P6</f>
        <v>3098142</v>
      </c>
      <c r="Q6" s="55">
        <f>BÖLCSŐDE!Q6+FALUHÁZ!P6+ÓVODA!Q6+PMH!Q6+ÖNKORMÁNYZAT!Q6</f>
        <v>3433139</v>
      </c>
      <c r="R6" s="55">
        <f>BÖLCSŐDE!R6+FALUHÁZ!Q6+ÓVODA!R6+PMH!R6+ÖNKORMÁNYZAT!R6</f>
        <v>3230700</v>
      </c>
      <c r="S6" s="55">
        <f>BÖLCSŐDE!S6+FALUHÁZ!R6+ÓVODA!S6+PMH!S6+ÖNKORMÁNYZAT!S6</f>
        <v>4026591</v>
      </c>
      <c r="T6" s="55">
        <f>BÖLCSŐDE!T6+FALUHÁZ!S6+ÓVODA!T6+PMH!T6+ÖNKORMÁNYZAT!T6</f>
        <v>4103132</v>
      </c>
      <c r="U6" s="55">
        <f>BÖLCSŐDE!U6+FALUHÁZ!T6+ÓVODA!U6+PMH!U6+ÖNKORMÁNYZAT!U6</f>
        <v>3230700</v>
      </c>
      <c r="V6" s="55">
        <f>BÖLCSŐDE!V6+FALUHÁZ!U6+ÓVODA!V6+PMH!V6+ÖNKORMÁNYZAT!V6</f>
        <v>3230700</v>
      </c>
      <c r="W6" s="55">
        <f>BÖLCSŐDE!W6+FALUHÁZ!V6+ÓVODA!W6+PMH!W6+ÖNKORMÁNYZAT!W6</f>
        <v>3230700</v>
      </c>
      <c r="X6" s="122">
        <f t="shared" si="2"/>
        <v>127.00442628532515</v>
      </c>
      <c r="AA6" s="55">
        <f>BÖLCSŐDE!AA6+FALUHÁZ!Z6+ÓVODA!AA6+PMH!AA6+ÖNKORMÁNYZAT!AA6</f>
        <v>3320240</v>
      </c>
      <c r="AB6" s="55">
        <f>BÖLCSŐDE!AB6+FALUHÁZ!AA6+ÓVODA!AB6+PMH!AB6+ÖNKORMÁNYZAT!AB6</f>
        <v>2180479</v>
      </c>
      <c r="AC6" s="55">
        <f>BÖLCSŐDE!AB6+FALUHÁZ!AA6+ÓVODA!AB6+PMH!AB6+ÖNKORMÁNYZAT!AB6</f>
        <v>2180479</v>
      </c>
      <c r="AD6" s="55">
        <f>BÖLCSŐDE!AC6+FALUHÁZ!AB6+ÓVODA!AC6+PMH!AC6+ÖNKORMÁNYZAT!AC6</f>
        <v>2974569</v>
      </c>
      <c r="AE6" s="223">
        <f>BÖLCSŐDE!AE6+FALUHÁZ!AD6+ÓVODA!AE6+PMH!AE6+ÖNKORMÁNYZAT!AD6</f>
        <v>3314022</v>
      </c>
      <c r="AF6" s="122">
        <f t="shared" si="3"/>
        <v>89.588975495747292</v>
      </c>
      <c r="AG6" s="55">
        <f>BÖLCSŐDE!AG6+FALUHÁZ!AG6+ÓVODA!AG6+PMH!AG6+ÖNKORMÁNYZAT!AG6</f>
        <v>3671937</v>
      </c>
      <c r="AH6" s="55"/>
      <c r="AI6" s="55">
        <f>BÖLCSŐDE!AI6+FALUHÁZ!AJ6+ÓVODA!AI6+PMH!AI6+ÖNKORMÁNYZAT!AI6</f>
        <v>4494450.8880000003</v>
      </c>
      <c r="AJ6" s="55"/>
      <c r="AK6" s="55">
        <f>BÖLCSŐDE!AL6+FALUHÁZ!AK6+ÓVODA!AK6+PMH!AK6+ÖNKORMÁNYZAT!AK6</f>
        <v>3476529</v>
      </c>
      <c r="AM6" s="55">
        <f>BÖLCSŐDE!AM6+FALUHÁZ!AM6+ÓVODA!AM6+PMH!AM6+ÖNKORMÁNYZAT!AM6</f>
        <v>4387771</v>
      </c>
      <c r="AN6" s="55">
        <f>BÖLCSŐDE!AN6+FALUHÁZ!AN6+ÓVODA!AP6+PMH!AN6+ÖNKORMÁNYZAT!AP6</f>
        <v>3476529</v>
      </c>
      <c r="AO6" s="55">
        <f>BÖLCSŐDE!AO6+FALUHÁZ!AO6+ÓVODA!AQ6+PMH!AO6+ÖNKORMÁNYZAT!AQ6</f>
        <v>3486306</v>
      </c>
      <c r="AP6" s="55">
        <f>BÖLCSŐDE!AP6+FALUHÁZ!AP6+ÓVODA!AP6+PMH!AP6+ÖNKORMÁNYZAT!AP6</f>
        <v>3476529</v>
      </c>
      <c r="AQ6" s="55">
        <f>BÖLCSŐDE!AQ6+FALUHÁZ!AQ6+ÓVODA!AQ6+PMH!AQ6+ÖNKORMÁNYZAT!AQ6</f>
        <v>3486306</v>
      </c>
      <c r="AR6" s="55">
        <f t="shared" si="4"/>
        <v>-9777</v>
      </c>
      <c r="AS6" s="54">
        <f t="shared" si="5"/>
        <v>100.28122877732359</v>
      </c>
      <c r="AT6" s="55">
        <f>BÖLCSŐDE!AT6+FALUHÁZ!AT6+ÓVODA!AT6+PMH!AT6+ÖNKORMÁNYZAT!AT6</f>
        <v>4800099</v>
      </c>
      <c r="AU6" s="55"/>
      <c r="AV6" s="54">
        <f t="shared" si="7"/>
        <v>0</v>
      </c>
      <c r="AW6" s="55">
        <f>BÖLCSŐDE!AW6+FALUHÁZ!AW6+ÓVODA!AW6+PMH!AW6+ÖNKORMÁNYZAT!AW6</f>
        <v>5157155</v>
      </c>
      <c r="AX6" s="55">
        <f>BÖLCSŐDE!AX6+FALUHÁZ!AX6+ÓVODA!AX6+PMH!AX6+ÖNKORMÁNYZAT!AX6</f>
        <v>5157155</v>
      </c>
      <c r="AY6" s="55">
        <f>BÖLCSŐDE!AY6+FALUHÁZ!AY6+ÓVODA!AY6+PMH!AY6+ÖNKORMÁNYZAT!AY6</f>
        <v>5157155</v>
      </c>
      <c r="AZ6" s="55">
        <f>BÖLCSŐDE!AZ6+FALUHÁZ!AZ6+ÓVODA!AZ6+PMH!AZ6+ÖNKORMÁNYZAT!AZ6</f>
        <v>5157155</v>
      </c>
      <c r="BA6" s="55">
        <f>BÖLCSŐDE!BA6+FALUHÁZ!BA6+ÓVODA!BA6+PMH!BA6+ÖNKORMÁNYZAT!BA6</f>
        <v>5157155</v>
      </c>
      <c r="BB6" s="501">
        <f>BÖLCSŐDE!BB6+FALUHÁZ!BB6+ÓVODA!BB6+PMH!BB6+ÖNKORMÁNYZAT!BB6</f>
        <v>6197520</v>
      </c>
      <c r="BC6" s="501">
        <f>BÖLCSŐDE!BC6+FALUHÁZ!BC6+ÓVODA!BC6+PMH!BC6+ÖNKORMÁNYZAT!BC6</f>
        <v>6300336</v>
      </c>
      <c r="BD6" s="501">
        <f>BÖLCSŐDE!BD6+FALUHÁZ!BD6+ÓVODA!BD6+PMH!BD6+ÖNKORMÁNYZAT!BD6</f>
        <v>3780203</v>
      </c>
      <c r="BE6" s="501">
        <f>BÖLCSŐDE!BE6+FALUHÁZ!BE6+ÓVODA!BE6+PMH!BE6+ÖNKORMÁNYZAT!BE6</f>
        <v>4788257</v>
      </c>
      <c r="BF6" s="501">
        <f>BÖLCSŐDE!BF6+FALUHÁZ!BF6+ÓVODA!BF6+PMH!BF6+ÖNKORMÁNYZAT!BF6</f>
        <v>5292284</v>
      </c>
      <c r="BG6" s="383">
        <f>BÖLCSŐDE!BG6+FALUHÁZ!BG6+ÓVODA!BG6+PMH!BG6+ÖNKORMÁNYZAT!BG6</f>
        <v>6350740.8000000007</v>
      </c>
      <c r="BH6" s="65">
        <f>BÖLCSŐDE!BH6+FALUHÁZ!BH6+ÓVODA!BH6+PMH!BH6+ÖNKORMÁNYZAT!BH6</f>
        <v>6428765</v>
      </c>
      <c r="BI6" s="65">
        <f>BÖLCSŐDE!BI6+FALUHÁZ!BI6+ÓVODA!BI6+PMH!BI6+ÖNKORMÁNYZAT!BI6</f>
        <v>6428765</v>
      </c>
      <c r="BJ6" s="65">
        <f>BÖLCSŐDE!BJ6+FALUHÁZ!BJ6+ÓVODA!BJ6+PMH!BJ6+ÖNKORMÁNYZAT!BJ6</f>
        <v>3342957</v>
      </c>
      <c r="BK6" s="65">
        <f>BÖLCSŐDE!BK6+FALUHÁZ!BK6+ÓVODA!BK6+PMH!BK6+ÖNKORMÁNYZAT!BK6</f>
        <v>5400161</v>
      </c>
      <c r="BL6" s="65">
        <f>BÖLCSŐDE!BL6+FALUHÁZ!BL6+ÓVODA!BL6+PMH!BL6+ÖNKORMÁNYZAT!BL6</f>
        <v>6627935</v>
      </c>
      <c r="BM6" s="65">
        <f>BÖLCSŐDE!BM6+FALUHÁZ!BM6+ÓVODA!BM6+PMH!BM6+ÖNKORMÁNYZAT!BM6</f>
        <v>6627935</v>
      </c>
      <c r="BN6" s="65">
        <f>BÖLCSŐDE!BN6+FALUHÁZ!BN6+ÓVODA!BN6+PMH!BN6+ÖNKORMÁNYZAT!BN6</f>
        <v>6627935</v>
      </c>
      <c r="BO6" s="65">
        <f>BÖLCSŐDE!BO6+FALUHÁZ!BO6+ÓVODA!BO6+PMH!BO6+ÖNKORMÁNYZAT!BO6</f>
        <v>8192908</v>
      </c>
      <c r="BP6" s="65">
        <f>BÖLCSŐDE!BP6+FALUHÁZ!BP6+ÓVODA!BP6+PMH!BP6+ÖNKORMÁNYZAT!BP6</f>
        <v>8192908</v>
      </c>
      <c r="BQ6" s="65">
        <f>BÖLCSŐDE!BQ6+FALUHÁZ!BQ6+ÓVODA!BQ6+PMH!BQ6+ÖNKORMÁNYZAT!BQ6</f>
        <v>8602553.4000000004</v>
      </c>
      <c r="BR6" s="65">
        <f>BÖLCSŐDE!BR6+FALUHÁZ!BR6+ÓVODA!BR6+PMH!BR6+ÖNKORMÁNYZAT!BR6</f>
        <v>8602553</v>
      </c>
      <c r="BS6" s="65">
        <f>BÖLCSŐDE!BS6+FALUHÁZ!BS6+ÓVODA!BS6+PMH!BS6+ÖNKORMÁNYZAT!BS6</f>
        <v>6754076</v>
      </c>
      <c r="BT6" s="65">
        <f>BÖLCSŐDE!BT6+FALUHÁZ!BT6+ÓVODA!BT6+PMH!BT6+ÖNKORMÁNYZAT!BT6</f>
        <v>6754076</v>
      </c>
      <c r="BU6" s="65">
        <f>BÖLCSŐDE!BU6+FALUHÁZ!BU6+ÓVODA!BU6+PMH!BU6+ÖNKORMÁNYZAT!BU6</f>
        <v>4000000</v>
      </c>
      <c r="BV6" s="65">
        <f>BÖLCSŐDE!BV6+FALUHÁZ!BV6+ÓVODA!BV6+PMH!BV6+ÖNKORMÁNYZAT!BV6</f>
        <v>6844809</v>
      </c>
    </row>
    <row r="7" spans="1:74" x14ac:dyDescent="0.25">
      <c r="A7" s="54" t="s">
        <v>11</v>
      </c>
      <c r="B7" s="55" t="s">
        <v>179</v>
      </c>
      <c r="C7" s="55">
        <f>BÖLCSŐDE!C7+FALUHÁZ!C7+ÓVODA!C7+PMH!C7+ÖNKORMÁNYZAT!C7</f>
        <v>2500000</v>
      </c>
      <c r="D7" s="55">
        <f>BÖLCSŐDE!D7+FALUHÁZ!D7+ÓVODA!D7+PMH!D7+ÖNKORMÁNYZAT!D7</f>
        <v>4467502</v>
      </c>
      <c r="E7" s="55">
        <f>BÖLCSŐDE!E7+FALUHÁZ!E7+ÓVODA!E7+PMH!E7+ÖNKORMÁNYZAT!E7</f>
        <v>0</v>
      </c>
      <c r="F7" s="55">
        <f>BÖLCSŐDE!F7+FALUHÁZ!F7+ÓVODA!F7+PMH!F7+ÖNKORMÁNYZAT!F7</f>
        <v>4757555</v>
      </c>
      <c r="G7" s="55">
        <f>BÖLCSŐDE!G7+FALUHÁZ!G7+ÓVODA!G7+PMH!G7+ÖNKORMÁNYZAT!G7</f>
        <v>2138723</v>
      </c>
      <c r="H7" s="55">
        <f>BÖLCSŐDE!H7+FALUHÁZ!H7+ÓVODA!H7+PMH!H7+ÖNKORMÁNYZAT!H7</f>
        <v>4798181</v>
      </c>
      <c r="I7" s="55">
        <f t="shared" si="0"/>
        <v>5234379.2727272725</v>
      </c>
      <c r="J7" s="55">
        <v>11648000</v>
      </c>
      <c r="K7" s="55">
        <v>11648000</v>
      </c>
      <c r="L7" s="55">
        <f>BÖLCSŐDE!L7+FALUHÁZ!L7+ÓVODA!L7+PMH!L7+ÖNKORMÁNYZAT!L7</f>
        <v>11648000</v>
      </c>
      <c r="M7" s="1">
        <f t="shared" si="1"/>
        <v>222.52877357759812</v>
      </c>
      <c r="O7" s="55">
        <f>BÖLCSŐDE!O7+FALUHÁZ!N7+ÓVODA!O7+PMH!O7+ÖNKORMÁNYZAT!O7</f>
        <v>15074696</v>
      </c>
      <c r="P7" s="55">
        <f>BÖLCSŐDE!P7+FALUHÁZ!O7+ÓVODA!P7+PMH!P7+ÖNKORMÁNYZAT!P7</f>
        <v>752776</v>
      </c>
      <c r="Q7" s="55">
        <f>BÖLCSŐDE!Q7+FALUHÁZ!P7+ÓVODA!Q7+PMH!Q7+ÖNKORMÁNYZAT!Q7</f>
        <v>1490266</v>
      </c>
      <c r="R7" s="55">
        <f>BÖLCSŐDE!R7+FALUHÁZ!Q7+ÓVODA!R7+PMH!R7+ÖNKORMÁNYZAT!R7</f>
        <v>0</v>
      </c>
      <c r="S7" s="55">
        <f>BÖLCSŐDE!S7+FALUHÁZ!R7+ÓVODA!S7+PMH!S7+ÖNKORMÁNYZAT!S7</f>
        <v>1516556</v>
      </c>
      <c r="T7" s="55">
        <f>BÖLCSŐDE!T7+FALUHÁZ!S7+ÓVODA!T7+PMH!T7+ÖNKORMÁNYZAT!T7</f>
        <v>2792731</v>
      </c>
      <c r="U7" s="55">
        <f>BÖLCSŐDE!U7+FALUHÁZ!T7+ÓVODA!U7+PMH!U7+ÖNKORMÁNYZAT!U7</f>
        <v>0</v>
      </c>
      <c r="V7" s="139">
        <f>BÖLCSŐDE!V7+FALUHÁZ!U7+ÓVODA!V7+PMH!V7+ÖNKORMÁNYZAT!V7</f>
        <v>5992000</v>
      </c>
      <c r="W7" s="139">
        <f>BÖLCSŐDE!W7+FALUHÁZ!V7+ÓVODA!W7+PMH!W7+ÖNKORMÁNYZAT!W7</f>
        <v>5992000</v>
      </c>
      <c r="X7" s="122"/>
      <c r="AA7" s="55">
        <f>BÖLCSŐDE!AA7+FALUHÁZ!Z7+ÓVODA!AA7+PMH!AA7+ÖNKORMÁNYZAT!AA7</f>
        <v>0</v>
      </c>
      <c r="AB7" s="55">
        <f>BÖLCSŐDE!AB7+FALUHÁZ!AA7+ÓVODA!AB7+PMH!AB7+ÖNKORMÁNYZAT!AB7</f>
        <v>5992000</v>
      </c>
      <c r="AC7" s="55">
        <f>BÖLCSŐDE!AB7+FALUHÁZ!AA7+ÓVODA!AB7+PMH!AB7+ÖNKORMÁNYZAT!AB7</f>
        <v>5992000</v>
      </c>
      <c r="AD7" s="55">
        <f>BÖLCSŐDE!AC7+FALUHÁZ!AB7+ÓVODA!AC7+PMH!AC7+ÖNKORMÁNYZAT!AC7</f>
        <v>6812420</v>
      </c>
      <c r="AE7" s="223">
        <f>BÖLCSŐDE!AE7+FALUHÁZ!AD7+ÓVODA!AE7+PMH!AE7+ÖNKORMÁNYZAT!AD7</f>
        <v>6812420</v>
      </c>
      <c r="AF7" s="122"/>
      <c r="AG7" s="55">
        <f>BÖLCSŐDE!AG7+FALUHÁZ!AG7+ÓVODA!AG7+PMH!AG7+ÖNKORMÁNYZAT!AG7</f>
        <v>6812420</v>
      </c>
      <c r="AH7" s="55"/>
      <c r="AI7" s="55">
        <f>BÖLCSŐDE!AI7+FALUHÁZ!AJ7+ÓVODA!AI7+PMH!AI7+ÖNKORMÁNYZAT!AI7</f>
        <v>8338402.0800000001</v>
      </c>
      <c r="AJ7" s="55"/>
      <c r="AK7" s="55">
        <f>BÖLCSŐDE!AL7+FALUHÁZ!AK7+ÓVODA!AK7+PMH!AK7+ÖNKORMÁNYZAT!AK7</f>
        <v>0</v>
      </c>
      <c r="AM7" s="55">
        <f>BÖLCSŐDE!AM7+FALUHÁZ!AM7+ÓVODA!AM7+PMH!AM7+ÖNKORMÁNYZAT!AM7</f>
        <v>6812420</v>
      </c>
      <c r="AN7" s="55">
        <f>BÖLCSŐDE!AN7+FALUHÁZ!AN7+ÓVODA!AP7+PMH!AN7+ÖNKORMÁNYZAT!AP7</f>
        <v>0</v>
      </c>
      <c r="AO7" s="55">
        <f>BÖLCSŐDE!AO7+FALUHÁZ!AO7+ÓVODA!AQ7+PMH!AO7+ÖNKORMÁNYZAT!AQ7</f>
        <v>0</v>
      </c>
      <c r="AP7" s="55">
        <f>BÖLCSŐDE!AP7+FALUHÁZ!AP7+ÓVODA!AP7+PMH!AP7+ÖNKORMÁNYZAT!AP7</f>
        <v>0</v>
      </c>
      <c r="AQ7" s="55">
        <f>BÖLCSŐDE!AQ7+FALUHÁZ!AQ7+ÓVODA!AQ7+PMH!AQ7+ÖNKORMÁNYZAT!AQ7</f>
        <v>0</v>
      </c>
      <c r="AR7" s="55">
        <f t="shared" si="4"/>
        <v>0</v>
      </c>
      <c r="AS7" s="54"/>
      <c r="AT7" s="55">
        <f>BÖLCSŐDE!AT7+FALUHÁZ!AT7+ÓVODA!AT7+PMH!AT7+ÖNKORMÁNYZAT!AT7</f>
        <v>762000</v>
      </c>
      <c r="AU7" s="55">
        <v>0</v>
      </c>
      <c r="AV7" s="54"/>
      <c r="AW7" s="55">
        <f>BÖLCSŐDE!AW7+FALUHÁZ!AW7+ÓVODA!AW7+PMH!AW7+ÖNKORMÁNYZAT!AW7</f>
        <v>762000</v>
      </c>
      <c r="AX7" s="55">
        <f>BÖLCSŐDE!AX7+FALUHÁZ!AX7+ÓVODA!AX7+PMH!AX7+ÖNKORMÁNYZAT!AX7</f>
        <v>762000</v>
      </c>
      <c r="AY7" s="55">
        <f>BÖLCSŐDE!AY7+FALUHÁZ!AY7+ÓVODA!AY7+PMH!AY7+ÖNKORMÁNYZAT!AY7</f>
        <v>762000</v>
      </c>
      <c r="AZ7" s="55">
        <f>BÖLCSŐDE!AZ7+FALUHÁZ!AZ7+ÓVODA!AZ7+PMH!AZ7+ÖNKORMÁNYZAT!AZ7</f>
        <v>762000</v>
      </c>
      <c r="BA7" s="55">
        <f>BÖLCSŐDE!BA7+FALUHÁZ!BA7+ÓVODA!BA7+PMH!BA7+ÖNKORMÁNYZAT!BA7</f>
        <v>762000</v>
      </c>
      <c r="BB7" s="501">
        <f>BÖLCSŐDE!BB7+FALUHÁZ!BB7+ÓVODA!BB7+PMH!BB7+ÖNKORMÁNYZAT!BB7</f>
        <v>762000</v>
      </c>
      <c r="BC7" s="501">
        <f>BÖLCSŐDE!BC7+FALUHÁZ!BC7+ÓVODA!BC7+PMH!BC7+ÖNKORMÁNYZAT!BC7</f>
        <v>12462846</v>
      </c>
      <c r="BD7" s="501">
        <f>BÖLCSŐDE!BD7+FALUHÁZ!BD7+ÓVODA!BD7+PMH!BD7+ÖNKORMÁNYZAT!BD7</f>
        <v>6231423</v>
      </c>
      <c r="BE7" s="501">
        <f>BÖLCSŐDE!BE7+FALUHÁZ!BE7+ÓVODA!BE7+PMH!BE7+ÖNKORMÁNYZAT!BE7</f>
        <v>7031523</v>
      </c>
      <c r="BF7" s="501">
        <f>BÖLCSŐDE!BF7+FALUHÁZ!BF7+ÓVODA!BF7+PMH!BF7+ÖNKORMÁNYZAT!BF7</f>
        <v>13262946</v>
      </c>
      <c r="BG7" s="383">
        <f>BÖLCSŐDE!BG7+FALUHÁZ!BG7+ÓVODA!BG7+PMH!BG7+ÖNKORMÁNYZAT!BG7</f>
        <v>15915535.200000001</v>
      </c>
      <c r="BH7" s="65">
        <f>BÖLCSŐDE!BH7+FALUHÁZ!BH7+ÓVODA!BH7+PMH!BH7+ÖNKORMÁNYZAT!BH7</f>
        <v>3125520</v>
      </c>
      <c r="BI7" s="65">
        <f>BÖLCSŐDE!BI7+FALUHÁZ!BI7+ÓVODA!BI7+PMH!BI7+ÖNKORMÁNYZAT!BI7</f>
        <v>10286990</v>
      </c>
      <c r="BJ7" s="65">
        <f>BÖLCSŐDE!BJ7+FALUHÁZ!BJ7+ÓVODA!BJ7+PMH!BJ7+ÖNKORMÁNYZAT!BJ7</f>
        <v>10286990</v>
      </c>
      <c r="BK7" s="65">
        <f>BÖLCSŐDE!BK7+FALUHÁZ!BK7+ÓVODA!BK7+PMH!BK7+ÖNKORMÁNYZAT!BK7</f>
        <v>20499498</v>
      </c>
      <c r="BL7" s="65">
        <f>BÖLCSŐDE!BL7+FALUHÁZ!BL7+ÓVODA!BL7+PMH!BL7+ÖNKORMÁNYZAT!BL7</f>
        <v>10286990</v>
      </c>
      <c r="BM7" s="65">
        <f>BÖLCSŐDE!BM7+FALUHÁZ!BM7+ÓVODA!BM7+PMH!BM7+ÖNKORMÁNYZAT!BM7</f>
        <v>4780000</v>
      </c>
      <c r="BN7" s="65">
        <f>BÖLCSŐDE!BN7+FALUHÁZ!BN7+ÓVODA!BN7+PMH!BN7+ÖNKORMÁNYZAT!BN7</f>
        <v>4780000</v>
      </c>
      <c r="BO7" s="65">
        <f>BÖLCSŐDE!BO7+FALUHÁZ!BO7+ÓVODA!BO7+PMH!BO7+ÖNKORMÁNYZAT!BO7</f>
        <v>21776100</v>
      </c>
      <c r="BP7" s="65">
        <f>BÖLCSŐDE!BP7+FALUHÁZ!BP7+ÓVODA!BP7+PMH!BP7+ÖNKORMÁNYZAT!BP7</f>
        <v>21776100</v>
      </c>
      <c r="BQ7" s="65">
        <f>BÖLCSŐDE!BQ7+FALUHÁZ!BQ7+ÓVODA!BQ7+PMH!BQ7+ÖNKORMÁNYZAT!BQ7</f>
        <v>21776100</v>
      </c>
      <c r="BR7" s="65">
        <f>BÖLCSŐDE!BR7+FALUHÁZ!BR7+ÓVODA!BR7+PMH!BR7+ÖNKORMÁNYZAT!BR7</f>
        <v>0</v>
      </c>
      <c r="BS7" s="65">
        <f>BÖLCSŐDE!BS7+FALUHÁZ!BS7+ÓVODA!BS7+PMH!BS7+ÖNKORMÁNYZAT!BS7</f>
        <v>0</v>
      </c>
      <c r="BT7" s="65">
        <f>BÖLCSŐDE!BT7+FALUHÁZ!BT7+ÓVODA!BT7+PMH!BT7+ÖNKORMÁNYZAT!BT7</f>
        <v>0</v>
      </c>
      <c r="BU7" s="65">
        <f>BÖLCSŐDE!BU7+FALUHÁZ!BU7+ÓVODA!BU7+PMH!BU7+ÖNKORMÁNYZAT!BU7</f>
        <v>0</v>
      </c>
      <c r="BV7" s="65">
        <f>BÖLCSŐDE!BV7+FALUHÁZ!BV7+ÓVODA!BV7+PMH!BV7+ÖNKORMÁNYZAT!BV7</f>
        <v>0</v>
      </c>
    </row>
    <row r="8" spans="1:74" x14ac:dyDescent="0.25">
      <c r="A8" s="54" t="s">
        <v>443</v>
      </c>
      <c r="B8" s="55" t="s">
        <v>444</v>
      </c>
      <c r="C8" s="55"/>
      <c r="D8" s="55"/>
      <c r="E8" s="55"/>
      <c r="F8" s="55"/>
      <c r="G8" s="55"/>
      <c r="H8" s="55"/>
      <c r="I8" s="55"/>
      <c r="J8" s="55"/>
      <c r="K8" s="55"/>
      <c r="L8" s="55"/>
      <c r="O8" s="55"/>
      <c r="P8" s="55">
        <f>BÖLCSŐDE!P8+FALUHÁZ!O8+ÓVODA!P8+PMH!P8+ÖNKORMÁNYZAT!P8</f>
        <v>0</v>
      </c>
      <c r="Q8" s="55"/>
      <c r="R8" s="55"/>
      <c r="S8" s="55"/>
      <c r="T8" s="55"/>
      <c r="U8" s="55"/>
      <c r="V8" s="139"/>
      <c r="W8" s="139"/>
      <c r="X8" s="122"/>
      <c r="AA8" s="55"/>
      <c r="AB8" s="55"/>
      <c r="AC8" s="55">
        <f>BÖLCSŐDE!AB8+FALUHÁZ!AA8+ÓVODA!AB8+PMH!AB8+ÖNKORMÁNYZAT!AB8</f>
        <v>0</v>
      </c>
      <c r="AD8" s="55">
        <f>BÖLCSŐDE!AC8+FALUHÁZ!AB8+ÓVODA!AC8+PMH!AC8+ÖNKORMÁNYZAT!AC8</f>
        <v>124817</v>
      </c>
      <c r="AE8" s="223">
        <f>BÖLCSŐDE!AE8+FALUHÁZ!AD8+ÓVODA!AE8+PMH!AE8+ÖNKORMÁNYZAT!AD8</f>
        <v>124817</v>
      </c>
      <c r="AF8" s="122"/>
      <c r="AG8" s="55">
        <f>BÖLCSŐDE!AG8+FALUHÁZ!AG8+ÓVODA!AG8+PMH!AG8+ÖNKORMÁNYZAT!AG8</f>
        <v>124817</v>
      </c>
      <c r="AH8" s="55"/>
      <c r="AI8" s="55">
        <f>BÖLCSŐDE!AI8+FALUHÁZ!AJ8+ÓVODA!AI8+PMH!AI8+ÖNKORMÁNYZAT!AI8</f>
        <v>152776.00800000003</v>
      </c>
      <c r="AJ8" s="55"/>
      <c r="AK8" s="55">
        <f>BÖLCSŐDE!AL8+FALUHÁZ!AK8+ÓVODA!AK8+PMH!AK8+ÖNKORMÁNYZAT!AK8</f>
        <v>0</v>
      </c>
      <c r="AM8" s="55">
        <f>BÖLCSŐDE!AM8+FALUHÁZ!AM8+ÓVODA!AM8+PMH!AM8+ÖNKORMÁNYZAT!AM8</f>
        <v>124817</v>
      </c>
      <c r="AN8" s="55">
        <f>BÖLCSŐDE!AN8+FALUHÁZ!AN8+ÓVODA!AP8+PMH!AN8+ÖNKORMÁNYZAT!AP8</f>
        <v>0</v>
      </c>
      <c r="AO8" s="55">
        <f>BÖLCSŐDE!AO8+FALUHÁZ!AO8+ÓVODA!AQ8+PMH!AO8+ÖNKORMÁNYZAT!AQ8</f>
        <v>298737</v>
      </c>
      <c r="AP8" s="55">
        <f>BÖLCSŐDE!AP8+FALUHÁZ!AP8+ÓVODA!AP8+PMH!AP8+ÖNKORMÁNYZAT!AP8</f>
        <v>0</v>
      </c>
      <c r="AQ8" s="55">
        <f>BÖLCSŐDE!AQ8+FALUHÁZ!AQ8+ÓVODA!AQ8+PMH!AQ8+ÖNKORMÁNYZAT!AQ8</f>
        <v>298737</v>
      </c>
      <c r="AR8" s="55">
        <f t="shared" si="4"/>
        <v>-298737</v>
      </c>
      <c r="AS8" s="54"/>
      <c r="AT8" s="55">
        <f>BÖLCSŐDE!AT8+FALUHÁZ!AT8+ÓVODA!AT8+PMH!AT8+ÖNKORMÁNYZAT!AT8</f>
        <v>298737</v>
      </c>
      <c r="AU8" s="55">
        <v>0</v>
      </c>
      <c r="AV8" s="54"/>
      <c r="AW8" s="55">
        <f>BÖLCSŐDE!AW8+FALUHÁZ!AW8+ÓVODA!AW8+PMH!AW8+ÖNKORMÁNYZAT!AW8</f>
        <v>298737</v>
      </c>
      <c r="AX8" s="55">
        <f>BÖLCSŐDE!AX8+FALUHÁZ!AX8+ÓVODA!AX8+PMH!AX8+ÖNKORMÁNYZAT!AX8</f>
        <v>298737</v>
      </c>
      <c r="AY8" s="55">
        <f>BÖLCSŐDE!AY8+FALUHÁZ!AY8+ÓVODA!AY8+PMH!AY8+ÖNKORMÁNYZAT!AY8</f>
        <v>298737</v>
      </c>
      <c r="AZ8" s="55">
        <f>BÖLCSŐDE!AZ8+FALUHÁZ!AZ8+ÓVODA!AZ8+PMH!AZ8+ÖNKORMÁNYZAT!AZ8</f>
        <v>298737</v>
      </c>
      <c r="BA8" s="55">
        <f>BÖLCSŐDE!BA8+FALUHÁZ!BA8+ÓVODA!BA8+PMH!BA8+ÖNKORMÁNYZAT!BA8</f>
        <v>298737</v>
      </c>
      <c r="BB8" s="501">
        <f>BÖLCSŐDE!BB8+FALUHÁZ!BB8+ÓVODA!BB8+PMH!BB8+ÖNKORMÁNYZAT!BB8</f>
        <v>298737</v>
      </c>
      <c r="BC8" s="501">
        <f>BÖLCSŐDE!BC8+FALUHÁZ!BC8+ÓVODA!BC8+PMH!BC8+ÖNKORMÁNYZAT!BC8</f>
        <v>298737</v>
      </c>
      <c r="BD8" s="501">
        <f>BÖLCSŐDE!BD8+FALUHÁZ!BD8+ÓVODA!BD8+PMH!BD8+ÖNKORMÁNYZAT!BD8</f>
        <v>5008720</v>
      </c>
      <c r="BE8" s="501">
        <f>BÖLCSŐDE!BE8+FALUHÁZ!BE8+ÓVODA!BE8+PMH!BE8+ÖNKORMÁNYZAT!BE8</f>
        <v>5008720</v>
      </c>
      <c r="BF8" s="501">
        <f>BÖLCSŐDE!BF8+FALUHÁZ!BF8+ÓVODA!BF8+PMH!BF8+ÖNKORMÁNYZAT!BF8</f>
        <v>5008720</v>
      </c>
      <c r="BG8" s="383">
        <f>BÖLCSŐDE!BG8+FALUHÁZ!BG8+ÓVODA!BG8+PMH!BG8+ÖNKORMÁNYZAT!BG8</f>
        <v>6010464</v>
      </c>
      <c r="BH8" s="65">
        <f>BÖLCSŐDE!BH8+FALUHÁZ!BH8+ÓVODA!BH8+PMH!BH8+ÖNKORMÁNYZAT!BH8</f>
        <v>0</v>
      </c>
      <c r="BI8" s="65">
        <f>BÖLCSŐDE!BI8+FALUHÁZ!BI8+ÓVODA!BI8+PMH!BI8+ÖNKORMÁNYZAT!BI8</f>
        <v>1169610</v>
      </c>
      <c r="BJ8" s="65">
        <f>BÖLCSŐDE!BJ8+FALUHÁZ!BJ8+ÓVODA!BJ8+PMH!BJ8+ÖNKORMÁNYZAT!BJ8</f>
        <v>1169610</v>
      </c>
      <c r="BK8" s="65">
        <f>BÖLCSŐDE!BK8+FALUHÁZ!BK8+ÓVODA!BK8+PMH!BK8+ÖNKORMÁNYZAT!BK8</f>
        <v>1169610</v>
      </c>
      <c r="BL8" s="65">
        <f>BÖLCSŐDE!BL8+FALUHÁZ!BL8+ÓVODA!BL8+PMH!BL8+ÖNKORMÁNYZAT!BL8</f>
        <v>1169610</v>
      </c>
      <c r="BM8" s="65">
        <f>BÖLCSŐDE!BM8+FALUHÁZ!BM8+ÓVODA!BM8+PMH!BM8+ÖNKORMÁNYZAT!BM8</f>
        <v>0</v>
      </c>
      <c r="BN8" s="65">
        <f>BÖLCSŐDE!BN8+FALUHÁZ!BN8+ÓVODA!BN8+PMH!BN8+ÖNKORMÁNYZAT!BN8</f>
        <v>0</v>
      </c>
      <c r="BO8" s="65">
        <f>BÖLCSŐDE!BO8+FALUHÁZ!BO8+ÓVODA!BO8+PMH!BO8+ÖNKORMÁNYZAT!BO8</f>
        <v>0</v>
      </c>
      <c r="BP8" s="65">
        <f>BÖLCSŐDE!BP8+FALUHÁZ!BP8+ÓVODA!BP8+PMH!BP8+ÖNKORMÁNYZAT!BP8</f>
        <v>0</v>
      </c>
      <c r="BQ8" s="65">
        <f>BÖLCSŐDE!BQ8+FALUHÁZ!BQ8+ÓVODA!BQ8+PMH!BQ8+ÖNKORMÁNYZAT!BQ8</f>
        <v>0</v>
      </c>
      <c r="BR8" s="65">
        <f>BÖLCSŐDE!BR8+FALUHÁZ!BR8+ÓVODA!BR8+PMH!BR8+ÖNKORMÁNYZAT!BR8</f>
        <v>0</v>
      </c>
      <c r="BS8" s="65">
        <f>BÖLCSŐDE!BS8+FALUHÁZ!BS8+ÓVODA!BS8+PMH!BS8+ÖNKORMÁNYZAT!BS8</f>
        <v>0</v>
      </c>
      <c r="BT8" s="65">
        <f>BÖLCSŐDE!BT8+FALUHÁZ!BT8+ÓVODA!BT8+PMH!BT8+ÖNKORMÁNYZAT!BT8</f>
        <v>0</v>
      </c>
      <c r="BU8" s="65">
        <f>BÖLCSŐDE!BU8+FALUHÁZ!BU8+ÓVODA!BU8+PMH!BU8+ÖNKORMÁNYZAT!BU8</f>
        <v>0</v>
      </c>
      <c r="BV8" s="65">
        <f>BÖLCSŐDE!BV8+FALUHÁZ!BV8+ÓVODA!BV8+PMH!BV8+ÖNKORMÁNYZAT!BV8</f>
        <v>0</v>
      </c>
    </row>
    <row r="9" spans="1:74" x14ac:dyDescent="0.25">
      <c r="A9" s="54" t="s">
        <v>12</v>
      </c>
      <c r="B9" s="55" t="s">
        <v>180</v>
      </c>
      <c r="C9" s="55">
        <f>BÖLCSŐDE!C9+FALUHÁZ!C9+ÓVODA!C9+PMH!C9+ÖNKORMÁNYZAT!C9</f>
        <v>37729544</v>
      </c>
      <c r="D9" s="55">
        <f>BÖLCSŐDE!D9+FALUHÁZ!D9+ÓVODA!D9+PMH!D9+ÖNKORMÁNYZAT!D9</f>
        <v>15589493</v>
      </c>
      <c r="E9" s="55">
        <f>BÖLCSŐDE!E9+FALUHÁZ!E9+ÓVODA!E9+PMH!E9+ÖNKORMÁNYZAT!E9</f>
        <v>22465952</v>
      </c>
      <c r="F9" s="55">
        <f>BÖLCSŐDE!F9+FALUHÁZ!F9+ÓVODA!F9+PMH!F9+ÖNKORMÁNYZAT!F9</f>
        <v>16981547</v>
      </c>
      <c r="G9" s="55">
        <f>BÖLCSŐDE!G9+FALUHÁZ!G9+ÓVODA!G9+PMH!G9+ÖNKORMÁNYZAT!G9</f>
        <v>22465952</v>
      </c>
      <c r="H9" s="55">
        <f>BÖLCSŐDE!H9+FALUHÁZ!H9+ÓVODA!H9+PMH!H9+ÖNKORMÁNYZAT!H9</f>
        <v>18673263</v>
      </c>
      <c r="I9" s="55">
        <f t="shared" si="0"/>
        <v>20370832.363636363</v>
      </c>
      <c r="J9" s="55">
        <v>22465952</v>
      </c>
      <c r="K9" s="55">
        <v>6630500</v>
      </c>
      <c r="L9" s="55">
        <f>BÖLCSŐDE!L9+FALUHÁZ!L9+ÓVODA!L9+PMH!L9+ÖNKORMÁNYZAT!L9</f>
        <v>6630500</v>
      </c>
      <c r="M9" s="1">
        <f t="shared" si="1"/>
        <v>32.548989072415111</v>
      </c>
      <c r="O9" s="55">
        <f>BÖLCSŐDE!O9+FALUHÁZ!N9+ÓVODA!O9+PMH!O9+ÖNKORMÁNYZAT!O9</f>
        <v>6630500</v>
      </c>
      <c r="P9" s="55">
        <f>BÖLCSŐDE!P9+FALUHÁZ!O9+ÓVODA!P9+PMH!P9+ÖNKORMÁNYZAT!P9</f>
        <v>10205738</v>
      </c>
      <c r="Q9" s="55">
        <f>BÖLCSŐDE!Q9+FALUHÁZ!P9+ÓVODA!Q9+PMH!Q9+ÖNKORMÁNYZAT!Q9</f>
        <v>11665028</v>
      </c>
      <c r="R9" s="55">
        <f>BÖLCSŐDE!R9+FALUHÁZ!Q9+ÓVODA!R9+PMH!R9+ÖNKORMÁNYZAT!R9</f>
        <v>7320000</v>
      </c>
      <c r="S9" s="55">
        <f>BÖLCSŐDE!S9+FALUHÁZ!R9+ÓVODA!S9+PMH!S9+ÖNKORMÁNYZAT!S9</f>
        <v>6630500</v>
      </c>
      <c r="T9" s="55">
        <f>BÖLCSŐDE!T9+FALUHÁZ!S9+ÓVODA!T9+PMH!T9+ÖNKORMÁNYZAT!T9</f>
        <v>13693272</v>
      </c>
      <c r="U9" s="55">
        <f>BÖLCSŐDE!U9+FALUHÁZ!T9+ÓVODA!U9+PMH!U9+ÖNKORMÁNYZAT!U9</f>
        <v>7320000</v>
      </c>
      <c r="V9" s="55">
        <f>BÖLCSŐDE!V9+FALUHÁZ!U9+ÓVODA!V9+PMH!V9+ÖNKORMÁNYZAT!V9</f>
        <v>7320000</v>
      </c>
      <c r="W9" s="55">
        <f>BÖLCSŐDE!W9+FALUHÁZ!V9+ÓVODA!W9+PMH!W9+ÖNKORMÁNYZAT!W9</f>
        <v>7320000</v>
      </c>
      <c r="X9" s="122">
        <f t="shared" si="2"/>
        <v>187.06655737704918</v>
      </c>
      <c r="AA9" s="55">
        <f>BÖLCSŐDE!AA9+FALUHÁZ!Z9+ÓVODA!AA9+PMH!AA9+ÖNKORMÁNYZAT!AA9</f>
        <v>7320000</v>
      </c>
      <c r="AB9" s="55">
        <f>BÖLCSŐDE!AB9+FALUHÁZ!AA9+ÓVODA!AB9+PMH!AB9+ÖNKORMÁNYZAT!AB9</f>
        <v>7246030</v>
      </c>
      <c r="AC9" s="55">
        <f>BÖLCSŐDE!AB9+FALUHÁZ!AA9+ÓVODA!AB9+PMH!AB9+ÖNKORMÁNYZAT!AB9</f>
        <v>7246030</v>
      </c>
      <c r="AD9" s="55">
        <f>BÖLCSŐDE!AC9+FALUHÁZ!AB9+ÓVODA!AC9+PMH!AC9+ÖNKORMÁNYZAT!AC9</f>
        <v>9281940</v>
      </c>
      <c r="AE9" s="223">
        <f>BÖLCSŐDE!AE9+FALUHÁZ!AD9+ÓVODA!AE9+PMH!AE9+ÖNKORMÁNYZAT!AD9</f>
        <v>9931365</v>
      </c>
      <c r="AF9" s="122">
        <f t="shared" si="3"/>
        <v>126.80245901639344</v>
      </c>
      <c r="AG9" s="55">
        <f>BÖLCSŐDE!AG9+FALUHÁZ!AG9+ÓVODA!AG9+PMH!AG9+ÖNKORMÁNYZAT!AG9</f>
        <v>12714567</v>
      </c>
      <c r="AH9" s="55"/>
      <c r="AI9" s="55">
        <f>BÖLCSŐDE!AI9+FALUHÁZ!AJ9+ÓVODA!AI9+PMH!AI9+ÖNKORMÁNYZAT!AI9</f>
        <v>13476931.560000001</v>
      </c>
      <c r="AJ9" s="55"/>
      <c r="AK9" s="55">
        <f>BÖLCSŐDE!AL9+FALUHÁZ!AK9+ÓVODA!AK9+PMH!AK9+ÖNKORMÁNYZAT!AK9</f>
        <v>13476931.560000001</v>
      </c>
      <c r="AM9" s="55">
        <f>BÖLCSŐDE!AM9+FALUHÁZ!AM9+ÓVODA!AM9+PMH!AM9+ÖNKORMÁNYZAT!AM9</f>
        <v>15234446</v>
      </c>
      <c r="AN9" s="55">
        <f>BÖLCSŐDE!AN9+FALUHÁZ!AN9+ÓVODA!AP9+PMH!AN9+ÖNKORMÁNYZAT!AP9</f>
        <v>13476932</v>
      </c>
      <c r="AO9" s="55">
        <f>BÖLCSŐDE!AO9+FALUHÁZ!AO9+ÓVODA!AQ9+PMH!AO9+ÖNKORMÁNYZAT!AQ9</f>
        <v>7964000</v>
      </c>
      <c r="AP9" s="55">
        <f>BÖLCSŐDE!AP9+FALUHÁZ!AP9+ÓVODA!AP9+PMH!AP9+ÖNKORMÁNYZAT!AP9</f>
        <v>13476932</v>
      </c>
      <c r="AQ9" s="55">
        <f>BÖLCSŐDE!AQ9+FALUHÁZ!AQ9+ÓVODA!AQ9+PMH!AQ9+ÖNKORMÁNYZAT!AQ9</f>
        <v>7964000</v>
      </c>
      <c r="AR9" s="55">
        <f t="shared" si="4"/>
        <v>5512932</v>
      </c>
      <c r="AS9" s="54">
        <f t="shared" si="5"/>
        <v>59.093568180057602</v>
      </c>
      <c r="AT9" s="55">
        <f>BÖLCSŐDE!AT9+FALUHÁZ!AT9+ÓVODA!AT9+PMH!AT9+ÖNKORMÁNYZAT!AT9</f>
        <v>11110683</v>
      </c>
      <c r="AU9" s="55">
        <f t="shared" si="6"/>
        <v>2366249</v>
      </c>
      <c r="AV9" s="54">
        <f t="shared" si="7"/>
        <v>17.557772050790195</v>
      </c>
      <c r="AW9" s="55">
        <f>BÖLCSŐDE!AW9+FALUHÁZ!AW9+ÓVODA!AW9+PMH!AW9+ÖNKORMÁNYZAT!AW9</f>
        <v>13476932</v>
      </c>
      <c r="AX9" s="55">
        <f>BÖLCSŐDE!AX9+FALUHÁZ!AX9+ÓVODA!AX9+PMH!AX9+ÖNKORMÁNYZAT!AX9</f>
        <v>13476932</v>
      </c>
      <c r="AY9" s="55">
        <f>BÖLCSŐDE!AY9+FALUHÁZ!AY9+ÓVODA!AY9+PMH!AY9+ÖNKORMÁNYZAT!AY9</f>
        <v>13476932</v>
      </c>
      <c r="AZ9" s="55">
        <f>BÖLCSŐDE!AZ9+FALUHÁZ!AZ9+ÓVODA!AZ9+PMH!AZ9+ÖNKORMÁNYZAT!AZ9</f>
        <v>13476932</v>
      </c>
      <c r="BA9" s="55">
        <f>BÖLCSŐDE!BA9+FALUHÁZ!BA9+ÓVODA!BA9+PMH!BA9+ÖNKORMÁNYZAT!BA9</f>
        <v>13476932</v>
      </c>
      <c r="BB9" s="501">
        <f>BÖLCSŐDE!BB9+FALUHÁZ!BB9+ÓVODA!BB9+PMH!BB9+ÖNKORMÁNYZAT!BB9</f>
        <v>29865074</v>
      </c>
      <c r="BC9" s="501">
        <f>BÖLCSŐDE!BC9+FALUHÁZ!BC9+ÓVODA!BC9+PMH!BC9+ÖNKORMÁNYZAT!BC9</f>
        <v>29865074</v>
      </c>
      <c r="BD9" s="501">
        <f>BÖLCSŐDE!BD9+FALUHÁZ!BD9+ÓVODA!BD9+PMH!BD9+ÖNKORMÁNYZAT!BD9</f>
        <v>9007294</v>
      </c>
      <c r="BE9" s="501">
        <f>BÖLCSŐDE!BE9+FALUHÁZ!BE9+ÓVODA!BE9+PMH!BE9+ÖNKORMÁNYZAT!BE9</f>
        <v>14361114</v>
      </c>
      <c r="BF9" s="501">
        <f>BÖLCSŐDE!BF9+FALUHÁZ!BF9+ÓVODA!BF9+PMH!BF9+ÖNKORMÁNYZAT!BF9</f>
        <v>15272814</v>
      </c>
      <c r="BG9" s="383">
        <f>BÖLCSŐDE!BG9+FALUHÁZ!BG9+ÓVODA!BG9+PMH!BG9+ÖNKORMÁNYZAT!BG9</f>
        <v>18327376.799999997</v>
      </c>
      <c r="BH9" s="65">
        <f>BÖLCSŐDE!BH9+FALUHÁZ!BH9+ÓVODA!BH9+PMH!BH9+ÖNKORMÁNYZAT!BH9</f>
        <v>18366434</v>
      </c>
      <c r="BI9" s="65">
        <f>BÖLCSŐDE!BI9+FALUHÁZ!BI9+ÓVODA!BI9+PMH!BI9+ÖNKORMÁNYZAT!BI9</f>
        <v>22280444</v>
      </c>
      <c r="BJ9" s="65">
        <f>BÖLCSŐDE!BJ9+FALUHÁZ!BJ9+ÓVODA!BJ9+PMH!BJ9+ÖNKORMÁNYZAT!BJ9</f>
        <v>13952149</v>
      </c>
      <c r="BK9" s="65">
        <f>BÖLCSŐDE!BK9+FALUHÁZ!BK9+ÓVODA!BK9+PMH!BK9+ÖNKORMÁNYZAT!BK9</f>
        <v>19323363</v>
      </c>
      <c r="BL9" s="65">
        <f>BÖLCSŐDE!BL9+FALUHÁZ!BL9+ÓVODA!BL9+PMH!BL9+ÖNKORMÁNYZAT!BL9</f>
        <v>26813870</v>
      </c>
      <c r="BM9" s="65">
        <f>BÖLCSŐDE!BM9+FALUHÁZ!BM9+ÓVODA!BM9+PMH!BM9+ÖNKORMÁNYZAT!BM9</f>
        <v>18366434</v>
      </c>
      <c r="BN9" s="65">
        <f>BÖLCSŐDE!BN9+FALUHÁZ!BN9+ÓVODA!BN9+PMH!BN9+ÖNKORMÁNYZAT!BN9</f>
        <v>18366434</v>
      </c>
      <c r="BO9" s="65">
        <f>BÖLCSŐDE!BO9+FALUHÁZ!BO9+ÓVODA!BO9+PMH!BO9+ÖNKORMÁNYZAT!BO9</f>
        <v>9660658</v>
      </c>
      <c r="BP9" s="65">
        <f>BÖLCSŐDE!BP9+FALUHÁZ!BP9+ÓVODA!BP9+PMH!BP9+ÖNKORMÁNYZAT!BP9</f>
        <v>0</v>
      </c>
      <c r="BQ9" s="65">
        <f>BÖLCSŐDE!BQ9+FALUHÁZ!BQ9+ÓVODA!BQ9+PMH!BQ9+ÖNKORMÁNYZAT!BQ9</f>
        <v>0</v>
      </c>
      <c r="BR9" s="65">
        <f>BÖLCSŐDE!BR9+FALUHÁZ!BR9+ÓVODA!BR9+PMH!BR9+ÖNKORMÁNYZAT!BR9</f>
        <v>4370000</v>
      </c>
      <c r="BS9" s="65">
        <f>BÖLCSŐDE!BS9+FALUHÁZ!BS9+ÓVODA!BS9+PMH!BS9+ÖNKORMÁNYZAT!BS9</f>
        <v>4370000</v>
      </c>
      <c r="BT9" s="65">
        <f>BÖLCSŐDE!BT9+FALUHÁZ!BT9+ÓVODA!BT9+PMH!BT9+ÖNKORMÁNYZAT!BT9</f>
        <v>4370000</v>
      </c>
      <c r="BU9" s="65">
        <f>BÖLCSŐDE!BU9+FALUHÁZ!BU9+ÓVODA!BU9+PMH!BU9+ÖNKORMÁNYZAT!BU9</f>
        <v>25000000</v>
      </c>
      <c r="BV9" s="65">
        <f>BÖLCSŐDE!BV9+FALUHÁZ!BV9+ÓVODA!BV9+PMH!BV9+ÖNKORMÁNYZAT!BV9</f>
        <v>34848390</v>
      </c>
    </row>
    <row r="10" spans="1:74" x14ac:dyDescent="0.25">
      <c r="A10" s="54" t="s">
        <v>13</v>
      </c>
      <c r="B10" s="55" t="s">
        <v>181</v>
      </c>
      <c r="C10" s="55">
        <f>BÖLCSŐDE!C10+FALUHÁZ!C10+ÓVODA!C10+PMH!C10+ÖNKORMÁNYZAT!C10</f>
        <v>0</v>
      </c>
      <c r="D10" s="55">
        <f>BÖLCSŐDE!D10+FALUHÁZ!D10+ÓVODA!D10+PMH!D10+ÖNKORMÁNYZAT!D10</f>
        <v>27943102</v>
      </c>
      <c r="E10" s="55">
        <f>BÖLCSŐDE!E10+FALUHÁZ!E10+ÓVODA!E10+PMH!E10+ÖNKORMÁNYZAT!E10</f>
        <v>0</v>
      </c>
      <c r="F10" s="55">
        <f>BÖLCSŐDE!F10+FALUHÁZ!F10+ÓVODA!F10+PMH!F10+ÖNKORMÁNYZAT!F10</f>
        <v>35778886</v>
      </c>
      <c r="G10" s="55">
        <f>BÖLCSŐDE!G10+FALUHÁZ!G10+ÓVODA!G10+PMH!G10+ÖNKORMÁNYZAT!G10</f>
        <v>0</v>
      </c>
      <c r="H10" s="55">
        <f>BÖLCSŐDE!H10+FALUHÁZ!H10+ÓVODA!H10+PMH!H10+ÖNKORMÁNYZAT!H10</f>
        <v>50778886</v>
      </c>
      <c r="I10" s="55">
        <f t="shared" si="0"/>
        <v>55395148.36363636</v>
      </c>
      <c r="J10" s="55">
        <v>0</v>
      </c>
      <c r="K10" s="55">
        <v>0</v>
      </c>
      <c r="L10" s="55">
        <f>BÖLCSŐDE!L10+FALUHÁZ!L10+ÓVODA!L10+PMH!L10+ÖNKORMÁNYZAT!L10</f>
        <v>0</v>
      </c>
      <c r="M10" s="1">
        <f t="shared" si="1"/>
        <v>0</v>
      </c>
      <c r="O10" s="55">
        <f>BÖLCSŐDE!O10+FALUHÁZ!N10+ÓVODA!O10+PMH!O10+ÖNKORMÁNYZAT!O10</f>
        <v>203983052</v>
      </c>
      <c r="P10" s="55">
        <f>BÖLCSŐDE!P10+FALUHÁZ!O10+ÓVODA!P10+PMH!P10+ÖNKORMÁNYZAT!P10</f>
        <v>203983052</v>
      </c>
      <c r="Q10" s="55">
        <f>BÖLCSŐDE!Q10+FALUHÁZ!P10+ÓVODA!Q10+PMH!Q10+ÖNKORMÁNYZAT!Q10</f>
        <v>219378474</v>
      </c>
      <c r="R10" s="55">
        <f>BÖLCSŐDE!R10+FALUHÁZ!Q10+ÓVODA!R10+PMH!R10+ÖNKORMÁNYZAT!R10</f>
        <v>0</v>
      </c>
      <c r="S10" s="55">
        <f>BÖLCSŐDE!S10+FALUHÁZ!R10+ÓVODA!S10+PMH!S10+ÖNKORMÁNYZAT!S10</f>
        <v>238985899</v>
      </c>
      <c r="T10" s="55">
        <f>BÖLCSŐDE!T10+FALUHÁZ!S10+ÓVODA!T10+PMH!T10+ÖNKORMÁNYZAT!T10</f>
        <v>238985899</v>
      </c>
      <c r="U10" s="55">
        <f>BÖLCSŐDE!U10+FALUHÁZ!T10+ÓVODA!U10+PMH!U10+ÖNKORMÁNYZAT!U10</f>
        <v>0</v>
      </c>
      <c r="V10" s="55">
        <f>BÖLCSŐDE!V10+FALUHÁZ!U10+ÓVODA!V10+PMH!V10+ÖNKORMÁNYZAT!V10</f>
        <v>0</v>
      </c>
      <c r="W10" s="55">
        <f>BÖLCSŐDE!W10+FALUHÁZ!V10+ÓVODA!W10+PMH!W10+ÖNKORMÁNYZAT!W10</f>
        <v>0</v>
      </c>
      <c r="X10" s="122"/>
      <c r="AA10" s="55">
        <f>BÖLCSŐDE!AA10+FALUHÁZ!Z10+ÓVODA!AA10+PMH!AA10+ÖNKORMÁNYZAT!AA10</f>
        <v>0</v>
      </c>
      <c r="AB10" s="55">
        <f>BÖLCSŐDE!AB10+FALUHÁZ!AA10+ÓVODA!AB10+PMH!AB10+ÖNKORMÁNYZAT!AB10</f>
        <v>893898</v>
      </c>
      <c r="AC10" s="55">
        <f>BÖLCSŐDE!AB10+FALUHÁZ!AA10+ÓVODA!AB10+PMH!AB10+ÖNKORMÁNYZAT!AB10</f>
        <v>893898</v>
      </c>
      <c r="AD10" s="55">
        <f>BÖLCSŐDE!AC10+FALUHÁZ!AB10+ÓVODA!AC10+PMH!AC10+ÖNKORMÁNYZAT!AC10</f>
        <v>893898</v>
      </c>
      <c r="AE10" s="223">
        <f>BÖLCSŐDE!AE10+FALUHÁZ!AD10+ÓVODA!AE10+PMH!AE10+ÖNKORMÁNYZAT!AD10</f>
        <v>15893898</v>
      </c>
      <c r="AF10" s="122"/>
      <c r="AG10" s="55">
        <f>BÖLCSŐDE!AG10+FALUHÁZ!AG10+ÓVODA!AG10+PMH!AG10+ÖNKORMÁNYZAT!AG10</f>
        <v>34347281</v>
      </c>
      <c r="AH10" s="55"/>
      <c r="AI10" s="55">
        <f>BÖLCSŐDE!AI10+FALUHÁZ!AJ10+ÓVODA!AI10+PMH!AI10+ÖNKORMÁNYZAT!AI10</f>
        <v>42041071.944000006</v>
      </c>
      <c r="AJ10" s="55"/>
      <c r="AK10" s="55">
        <f>BÖLCSŐDE!AL10+FALUHÁZ!AK10+ÓVODA!AK10+PMH!AK10+ÖNKORMÁNYZAT!AK10</f>
        <v>0</v>
      </c>
      <c r="AM10" s="55">
        <f>BÖLCSŐDE!AM10+FALUHÁZ!AM10+ÓVODA!AM10+PMH!AM10+ÖNKORMÁNYZAT!AM10</f>
        <v>34347281</v>
      </c>
      <c r="AN10" s="55">
        <f>BÖLCSŐDE!AN10+FALUHÁZ!AN10+ÓVODA!AP10+PMH!AN10+ÖNKORMÁNYZAT!AP10</f>
        <v>0</v>
      </c>
      <c r="AO10" s="55">
        <f>BÖLCSŐDE!AO10+FALUHÁZ!AO10+ÓVODA!AQ10+PMH!AO10+ÖNKORMÁNYZAT!AQ10</f>
        <v>0</v>
      </c>
      <c r="AP10" s="55">
        <f>BÖLCSŐDE!AP10+FALUHÁZ!AP10+ÓVODA!AP10+PMH!AP10+ÖNKORMÁNYZAT!AP10</f>
        <v>0</v>
      </c>
      <c r="AQ10" s="55">
        <f>BÖLCSŐDE!AQ10+FALUHÁZ!AQ10+ÓVODA!AQ10+PMH!AQ10+ÖNKORMÁNYZAT!AQ10</f>
        <v>0</v>
      </c>
      <c r="AR10" s="55">
        <f t="shared" si="4"/>
        <v>0</v>
      </c>
      <c r="AS10" s="54"/>
      <c r="AT10" s="55">
        <f>BÖLCSŐDE!AT10+FALUHÁZ!AT10+ÓVODA!AT10+PMH!AT10+ÖNKORMÁNYZAT!AT10</f>
        <v>47618067</v>
      </c>
      <c r="AU10" s="55"/>
      <c r="AV10" s="54"/>
      <c r="AW10" s="55">
        <f>BÖLCSŐDE!AW10+FALUHÁZ!AW10+ÓVODA!AW10+PMH!AW10+ÖNKORMÁNYZAT!AW10</f>
        <v>20000000</v>
      </c>
      <c r="AX10" s="55">
        <f>BÖLCSŐDE!AX10+FALUHÁZ!AX10+ÓVODA!AX10+PMH!AX10+ÖNKORMÁNYZAT!AX10</f>
        <v>20000000</v>
      </c>
      <c r="AY10" s="55">
        <f>BÖLCSŐDE!AY10+FALUHÁZ!AY10+ÓVODA!AY10+PMH!AY10+ÖNKORMÁNYZAT!AY10</f>
        <v>20000000</v>
      </c>
      <c r="AZ10" s="55">
        <f>BÖLCSŐDE!AZ10+FALUHÁZ!AZ10+ÓVODA!AZ10+PMH!AZ10+ÖNKORMÁNYZAT!AZ10</f>
        <v>20000000</v>
      </c>
      <c r="BA10" s="55">
        <f>BÖLCSŐDE!BA10+FALUHÁZ!BA10+ÓVODA!BA10+PMH!BA10+ÖNKORMÁNYZAT!BA10</f>
        <v>20000000</v>
      </c>
      <c r="BB10" s="501">
        <f>BÖLCSŐDE!BB10+FALUHÁZ!BB10+ÓVODA!BB10+PMH!BB10+ÖNKORMÁNYZAT!BB10</f>
        <v>20000000</v>
      </c>
      <c r="BC10" s="501">
        <f>BÖLCSŐDE!BC10+FALUHÁZ!BC10+ÓVODA!BC10+PMH!BC10+ÖNKORMÁNYZAT!BC10</f>
        <v>25642000</v>
      </c>
      <c r="BD10" s="501">
        <f>BÖLCSŐDE!BD10+FALUHÁZ!BD10+ÓVODA!BD10+PMH!BD10+ÖNKORMÁNYZAT!BD10</f>
        <v>29307000</v>
      </c>
      <c r="BE10" s="501">
        <f>BÖLCSŐDE!BE10+FALUHÁZ!BE10+ÓVODA!BE10+PMH!BE10+ÖNKORMÁNYZAT!BE10</f>
        <v>55435312</v>
      </c>
      <c r="BF10" s="501">
        <f>BÖLCSŐDE!BF10+FALUHÁZ!BF10+ÓVODA!BF10+PMH!BF10+ÖNKORMÁNYZAT!BF10</f>
        <v>60435312</v>
      </c>
      <c r="BG10" s="383">
        <f>BÖLCSŐDE!BG10+FALUHÁZ!BG10+ÓVODA!BG10+PMH!BG10+ÖNKORMÁNYZAT!BG10</f>
        <v>72522374.400000006</v>
      </c>
      <c r="BH10" s="65">
        <f>BÖLCSŐDE!BH10+FALUHÁZ!BH10+ÓVODA!BH10+PMH!BH10+ÖNKORMÁNYZAT!BH10</f>
        <v>66736382</v>
      </c>
      <c r="BI10" s="65">
        <f>BÖLCSŐDE!BI10+FALUHÁZ!BI10+ÓVODA!BI10+PMH!BI10+ÖNKORMÁNYZAT!BI10</f>
        <v>76736382</v>
      </c>
      <c r="BJ10" s="65">
        <f>BÖLCSŐDE!BJ10+FALUHÁZ!BJ10+ÓVODA!BJ10+PMH!BJ10+ÖNKORMÁNYZAT!BJ10</f>
        <v>10000000</v>
      </c>
      <c r="BK10" s="65">
        <f>BÖLCSŐDE!BK10+FALUHÁZ!BK10+ÓVODA!BK10+PMH!BK10+ÖNKORMÁNYZAT!BK10</f>
        <v>25638741</v>
      </c>
      <c r="BL10" s="65">
        <f>BÖLCSŐDE!BL10+FALUHÁZ!BL10+ÓVODA!BL10+PMH!BL10+ÖNKORMÁNYZAT!BL10</f>
        <v>0</v>
      </c>
      <c r="BM10" s="65">
        <f>BÖLCSŐDE!BM10+FALUHÁZ!BM10+ÓVODA!BM10+PMH!BM10+ÖNKORMÁNYZAT!BM10</f>
        <v>4200000</v>
      </c>
      <c r="BN10" s="65">
        <f>BÖLCSŐDE!BN10+FALUHÁZ!BN10+ÓVODA!BN10+PMH!BN10+ÖNKORMÁNYZAT!BN10</f>
        <v>4200000</v>
      </c>
      <c r="BO10" s="65">
        <f>BÖLCSŐDE!BO10+FALUHÁZ!BO10+ÓVODA!BO10+PMH!BO10+ÖNKORMÁNYZAT!BO10</f>
        <v>4200000</v>
      </c>
      <c r="BP10" s="65">
        <f>BÖLCSŐDE!BP10+FALUHÁZ!BP10+ÓVODA!BP10+PMH!BP10+ÖNKORMÁNYZAT!BP10</f>
        <v>0</v>
      </c>
      <c r="BQ10" s="65">
        <f>BÖLCSŐDE!BQ10+FALUHÁZ!BQ10+ÓVODA!BQ10+PMH!BQ10+ÖNKORMÁNYZAT!BQ10</f>
        <v>0</v>
      </c>
      <c r="BR10" s="65">
        <f>BÖLCSŐDE!BR10+FALUHÁZ!BR10+ÓVODA!BR10+PMH!BR10+ÖNKORMÁNYZAT!BR10</f>
        <v>0</v>
      </c>
      <c r="BS10" s="65">
        <f>BÖLCSŐDE!BS10+FALUHÁZ!BS10+ÓVODA!BS10+PMH!BS10+ÖNKORMÁNYZAT!BS10</f>
        <v>0</v>
      </c>
      <c r="BT10" s="65">
        <f>BÖLCSŐDE!BT10+FALUHÁZ!BT10+ÓVODA!BT10+PMH!BT10+ÖNKORMÁNYZAT!BT10</f>
        <v>20000000</v>
      </c>
      <c r="BU10" s="65">
        <f>BÖLCSŐDE!BU10+FALUHÁZ!BU10+ÓVODA!BU10+PMH!BU10+ÖNKORMÁNYZAT!BU10</f>
        <v>0</v>
      </c>
      <c r="BV10" s="65">
        <f>BÖLCSŐDE!BV10+FALUHÁZ!BV10+ÓVODA!BV10+PMH!BV10+ÖNKORMÁNYZAT!BV10</f>
        <v>0</v>
      </c>
    </row>
    <row r="11" spans="1:74" x14ac:dyDescent="0.25">
      <c r="A11" s="54" t="s">
        <v>440</v>
      </c>
      <c r="B11" s="55" t="s">
        <v>441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O11" s="55"/>
      <c r="P11" s="55">
        <f>BÖLCSŐDE!P11+FALUHÁZ!O11+ÓVODA!P11+PMH!P11+ÖNKORMÁNYZAT!P11</f>
        <v>0</v>
      </c>
      <c r="Q11" s="55"/>
      <c r="R11" s="55"/>
      <c r="S11" s="55"/>
      <c r="T11" s="55"/>
      <c r="U11" s="55"/>
      <c r="V11" s="55"/>
      <c r="W11" s="55"/>
      <c r="X11" s="122"/>
      <c r="AA11" s="55"/>
      <c r="AB11" s="55">
        <f>BÖLCSŐDE!AB11+FALUHÁZ!AA11+ÓVODA!AB11+PMH!AB11+ÖNKORMÁNYZAT!AB11</f>
        <v>80647948</v>
      </c>
      <c r="AC11" s="55">
        <f>BÖLCSŐDE!AB11+FALUHÁZ!AA11+ÓVODA!AB11+PMH!AB11+ÖNKORMÁNYZAT!AB11</f>
        <v>80647948</v>
      </c>
      <c r="AD11" s="55">
        <f>BÖLCSŐDE!AC11+FALUHÁZ!AB11+ÓVODA!AC11+PMH!AC11+ÖNKORMÁNYZAT!AC11</f>
        <v>166418863</v>
      </c>
      <c r="AE11" s="223">
        <f>BÖLCSŐDE!AE11+FALUHÁZ!AD11+ÓVODA!AE11+PMH!AE11+ÖNKORMÁNYZAT!AD11</f>
        <v>166418863</v>
      </c>
      <c r="AF11" s="122"/>
      <c r="AG11" s="55">
        <f>BÖLCSŐDE!AG11+FALUHÁZ!AG11+ÓVODA!AG11+PMH!AG11+ÖNKORMÁNYZAT!AG11</f>
        <v>289147485</v>
      </c>
      <c r="AH11" s="55"/>
      <c r="AI11" s="55">
        <f>BÖLCSŐDE!AI11+FALUHÁZ!AJ11+ÓVODA!AI11+PMH!AI11+ÖNKORMÁNYZAT!AI11</f>
        <v>324622996</v>
      </c>
      <c r="AJ11" s="55"/>
      <c r="AK11" s="55">
        <f>BÖLCSŐDE!AL11+FALUHÁZ!AK11+ÓVODA!AK11+PMH!AK11+ÖNKORMÁNYZAT!AK11</f>
        <v>404622996</v>
      </c>
      <c r="AM11" s="55">
        <f>BÖLCSŐDE!AM11+FALUHÁZ!AM11+ÓVODA!AM11+PMH!AM11+ÖNKORMÁNYZAT!AM11</f>
        <v>383482078</v>
      </c>
      <c r="AN11" s="55">
        <f>BÖLCSŐDE!AN11+FALUHÁZ!AN11+ÓVODA!AP11+PMH!AN11+ÖNKORMÁNYZAT!AP11</f>
        <v>439309212</v>
      </c>
      <c r="AO11" s="55">
        <f>BÖLCSŐDE!AO11+FALUHÁZ!AO11+ÓVODA!AQ11+PMH!AO11+ÖNKORMÁNYZAT!AQ11</f>
        <v>389309212</v>
      </c>
      <c r="AP11" s="55">
        <f>BÖLCSŐDE!AP11+FALUHÁZ!AP11+ÓVODA!AP11+PMH!AP11+ÖNKORMÁNYZAT!AP11</f>
        <v>439309212</v>
      </c>
      <c r="AQ11" s="55">
        <f>BÖLCSŐDE!AQ11+FALUHÁZ!AQ11+ÓVODA!AQ11+PMH!AQ11+ÖNKORMÁNYZAT!AQ11</f>
        <v>389309212</v>
      </c>
      <c r="AR11" s="55">
        <f t="shared" si="4"/>
        <v>50000000</v>
      </c>
      <c r="AS11" s="54">
        <f t="shared" si="5"/>
        <v>88.618494983893029</v>
      </c>
      <c r="AT11" s="55">
        <f>BÖLCSŐDE!AT11+FALUHÁZ!AT11+ÓVODA!AT11+PMH!AT11+ÖNKORMÁNYZAT!AT11</f>
        <v>372305963</v>
      </c>
      <c r="AU11" s="55">
        <f t="shared" si="6"/>
        <v>67003249</v>
      </c>
      <c r="AV11" s="54">
        <f t="shared" si="7"/>
        <v>15.251956291779287</v>
      </c>
      <c r="AW11" s="55">
        <f>BÖLCSŐDE!AW11+FALUHÁZ!AW11+ÓVODA!AW11+PMH!AW11+ÖNKORMÁNYZAT!AW11</f>
        <v>419309212</v>
      </c>
      <c r="AX11" s="55">
        <f>BÖLCSŐDE!AX11+FALUHÁZ!AX11+ÓVODA!AX11+PMH!AX11+ÖNKORMÁNYZAT!AX11</f>
        <v>89708930</v>
      </c>
      <c r="AY11" s="55">
        <f>BÖLCSŐDE!AY11+FALUHÁZ!AY11+ÓVODA!AY11+PMH!AY11+ÖNKORMÁNYZAT!AY11</f>
        <v>94708930</v>
      </c>
      <c r="AZ11" s="55">
        <f>BÖLCSŐDE!AZ11+FALUHÁZ!AZ11+ÓVODA!AZ11+PMH!AZ11+ÖNKORMÁNYZAT!AZ11</f>
        <v>94708930</v>
      </c>
      <c r="BA11" s="55">
        <f>BÖLCSŐDE!BA11+FALUHÁZ!BA11+ÓVODA!BA11+PMH!BA11+ÖNKORMÁNYZAT!BA11</f>
        <v>94708930</v>
      </c>
      <c r="BB11" s="501">
        <f>BÖLCSŐDE!BB11+FALUHÁZ!BB11+ÓVODA!BB11+PMH!BB11+ÖNKORMÁNYZAT!BB11</f>
        <v>94708930</v>
      </c>
      <c r="BC11" s="501">
        <f>BÖLCSŐDE!BC11+FALUHÁZ!BC11+ÓVODA!BC11+PMH!BC11+ÖNKORMÁNYZAT!BC11</f>
        <v>94708930</v>
      </c>
      <c r="BD11" s="501">
        <f>BÖLCSŐDE!BD11+FALUHÁZ!BD11+ÓVODA!BD11+PMH!BD11+ÖNKORMÁNYZAT!BD11</f>
        <v>45124566</v>
      </c>
      <c r="BE11" s="501">
        <f>BÖLCSŐDE!BE11+FALUHÁZ!BE11+ÓVODA!BE11+PMH!BE11+ÖNKORMÁNYZAT!BE11</f>
        <v>45124566</v>
      </c>
      <c r="BF11" s="501">
        <f>BÖLCSŐDE!BF11+FALUHÁZ!BF11+ÓVODA!BF11+PMH!BF11+ÖNKORMÁNYZAT!BF11</f>
        <v>45124566</v>
      </c>
      <c r="BG11" s="383">
        <f>BÖLCSŐDE!BG11+FALUHÁZ!BG11+ÓVODA!BG11+PMH!BG11+ÖNKORMÁNYZAT!BG11</f>
        <v>54149479.199999996</v>
      </c>
      <c r="BH11" s="65">
        <f>BÖLCSŐDE!BH11+FALUHÁZ!BH11+ÓVODA!BH11+PMH!BH11+ÖNKORMÁNYZAT!BH11</f>
        <v>92000000</v>
      </c>
      <c r="BI11" s="65">
        <f>BÖLCSŐDE!BI11+FALUHÁZ!BI11+ÓVODA!BI11+PMH!BI11+ÖNKORMÁNYZAT!BI11</f>
        <v>369484838</v>
      </c>
      <c r="BJ11" s="65">
        <f>BÖLCSŐDE!BJ11+FALUHÁZ!BJ11+ÓVODA!BJ11+PMH!BJ11+ÖNKORMÁNYZAT!BJ11</f>
        <v>62000000</v>
      </c>
      <c r="BK11" s="65">
        <f>BÖLCSŐDE!BK11+FALUHÁZ!BK11+ÓVODA!BK11+PMH!BK11+ÖNKORMÁNYZAT!BK11</f>
        <v>359484838</v>
      </c>
      <c r="BL11" s="65">
        <f>BÖLCSŐDE!BL11+FALUHÁZ!BL11+ÓVODA!BL11+PMH!BL11+ÖNKORMÁNYZAT!BL11</f>
        <v>0</v>
      </c>
      <c r="BM11" s="65">
        <f>BÖLCSŐDE!BM11+FALUHÁZ!BM11+ÓVODA!BM11+PMH!BM11+ÖNKORMÁNYZAT!BM11</f>
        <v>0</v>
      </c>
      <c r="BN11" s="65">
        <f>BÖLCSŐDE!BN11+FALUHÁZ!BN11+ÓVODA!BN11+PMH!BN11+ÖNKORMÁNYZAT!BN11</f>
        <v>0</v>
      </c>
      <c r="BO11" s="65">
        <f>BÖLCSŐDE!BO11+FALUHÁZ!BO11+ÓVODA!BO11+PMH!BO11+ÖNKORMÁNYZAT!BO11</f>
        <v>629977090</v>
      </c>
      <c r="BP11" s="65">
        <f>BÖLCSŐDE!BP11+FALUHÁZ!BP11+ÓVODA!BP11+PMH!BP11+ÖNKORMÁNYZAT!BP11</f>
        <v>629977090</v>
      </c>
      <c r="BQ11" s="65">
        <f>BÖLCSŐDE!BQ11+FALUHÁZ!BQ11+ÓVODA!BQ11+PMH!BQ11+ÖNKORMÁNYZAT!BQ11</f>
        <v>0</v>
      </c>
      <c r="BR11" s="65">
        <f>BÖLCSŐDE!BR11+FALUHÁZ!BR11+ÓVODA!BR11+PMH!BR11+ÖNKORMÁNYZAT!BR11</f>
        <v>0</v>
      </c>
      <c r="BS11" s="65">
        <f>BÖLCSŐDE!BS11+FALUHÁZ!BS11+ÓVODA!BS11+PMH!BS11+ÖNKORMÁNYZAT!BS11</f>
        <v>0</v>
      </c>
      <c r="BT11" s="65">
        <f>BÖLCSŐDE!BT11+FALUHÁZ!BT11+ÓVODA!BT11+PMH!BT11+ÖNKORMÁNYZAT!BT11</f>
        <v>0</v>
      </c>
      <c r="BU11" s="65">
        <f>BÖLCSŐDE!BU11+FALUHÁZ!BU11+ÓVODA!BU11+PMH!BU11+ÖNKORMÁNYZAT!BU11</f>
        <v>0</v>
      </c>
      <c r="BV11" s="65">
        <f>BÖLCSŐDE!BV11+FALUHÁZ!BV11+ÓVODA!BV11+PMH!BV11+ÖNKORMÁNYZAT!BV11</f>
        <v>0</v>
      </c>
    </row>
    <row r="12" spans="1:74" x14ac:dyDescent="0.25">
      <c r="A12" s="54" t="s">
        <v>14</v>
      </c>
      <c r="B12" s="55" t="s">
        <v>182</v>
      </c>
      <c r="C12" s="55">
        <f>BÖLCSŐDE!C12+FALUHÁZ!C12+ÓVODA!C12+PMH!C12+ÖNKORMÁNYZAT!C12</f>
        <v>90041713</v>
      </c>
      <c r="D12" s="55">
        <f>BÖLCSŐDE!D12+FALUHÁZ!D12+ÓVODA!D12+PMH!D12+ÖNKORMÁNYZAT!D12</f>
        <v>91660013</v>
      </c>
      <c r="E12" s="55">
        <f>BÖLCSŐDE!E12+FALUHÁZ!E12+ÓVODA!E12+PMH!E12+ÖNKORMÁNYZAT!E12</f>
        <v>90041717</v>
      </c>
      <c r="F12" s="55">
        <f>BÖLCSŐDE!F12+FALUHÁZ!F12+ÓVODA!F12+PMH!F12+ÖNKORMÁNYZAT!F12</f>
        <v>80944722</v>
      </c>
      <c r="G12" s="55">
        <f>BÖLCSŐDE!G12+FALUHÁZ!G12+ÓVODA!G12+PMH!G12+ÖNKORMÁNYZAT!G12</f>
        <v>90041717</v>
      </c>
      <c r="H12" s="55">
        <f>BÖLCSŐDE!H12+FALUHÁZ!H12+ÓVODA!H12+PMH!H12+ÖNKORMÁNYZAT!H12</f>
        <v>85355555</v>
      </c>
      <c r="I12" s="55">
        <f t="shared" si="0"/>
        <v>93115150.909090906</v>
      </c>
      <c r="J12" s="55">
        <v>90041717</v>
      </c>
      <c r="K12" s="55">
        <v>90041717</v>
      </c>
      <c r="L12" s="55">
        <f>BÖLCSŐDE!L12+FALUHÁZ!L12+ÓVODA!L12+PMH!L12+ÖNKORMÁNYZAT!L12</f>
        <v>90041717</v>
      </c>
      <c r="M12" s="1">
        <f t="shared" si="1"/>
        <v>96.699319198771931</v>
      </c>
      <c r="O12" s="55">
        <f>BÖLCSŐDE!O12+FALUHÁZ!N12+ÓVODA!O12+PMH!O12+ÖNKORMÁNYZAT!O12</f>
        <v>90041717</v>
      </c>
      <c r="P12" s="55">
        <f>BÖLCSŐDE!P12+FALUHÁZ!O12+ÓVODA!P12+PMH!P12+ÖNKORMÁNYZAT!P12</f>
        <v>75110304</v>
      </c>
      <c r="Q12" s="55">
        <f>BÖLCSŐDE!Q12+FALUHÁZ!P12+ÓVODA!Q12+PMH!Q12+ÖNKORMÁNYZAT!Q12</f>
        <v>79820494</v>
      </c>
      <c r="R12" s="55">
        <f>BÖLCSŐDE!R12+FALUHÁZ!Q12+ÓVODA!R12+PMH!R12+ÖNKORMÁNYZAT!R12</f>
        <v>90041717</v>
      </c>
      <c r="S12" s="55">
        <f>BÖLCSŐDE!S12+FALUHÁZ!R12+ÓVODA!S12+PMH!S12+ÖNKORMÁNYZAT!S12</f>
        <v>90041717</v>
      </c>
      <c r="T12" s="55">
        <f>BÖLCSŐDE!T12+FALUHÁZ!S12+ÓVODA!T12+PMH!T12+ÖNKORMÁNYZAT!T12</f>
        <v>85883444</v>
      </c>
      <c r="U12" s="55">
        <f>BÖLCSŐDE!U12+FALUHÁZ!T12+ÓVODA!U12+PMH!U12+ÖNKORMÁNYZAT!U12</f>
        <v>90041717</v>
      </c>
      <c r="V12" s="55">
        <f>BÖLCSŐDE!V12+FALUHÁZ!U12+ÓVODA!V12+PMH!V12+ÖNKORMÁNYZAT!V12</f>
        <v>90041717</v>
      </c>
      <c r="W12" s="55">
        <f>BÖLCSŐDE!W12+FALUHÁZ!V12+ÓVODA!W12+PMH!W12+ÖNKORMÁNYZAT!W12</f>
        <v>90041717</v>
      </c>
      <c r="X12" s="122">
        <f t="shared" si="2"/>
        <v>95.381837287709644</v>
      </c>
      <c r="AA12" s="55">
        <f>BÖLCSŐDE!AA12+FALUHÁZ!Z12+ÓVODA!AA12+PMH!AA12+ÖNKORMÁNYZAT!AA12</f>
        <v>87691966</v>
      </c>
      <c r="AB12" s="55">
        <f>BÖLCSŐDE!AB12+FALUHÁZ!AA12+ÓVODA!AB12+PMH!AB12+ÖNKORMÁNYZAT!AB12</f>
        <v>50318904</v>
      </c>
      <c r="AC12" s="55">
        <f>BÖLCSŐDE!AB12+FALUHÁZ!AA12+ÓVODA!AB12+PMH!AB12+ÖNKORMÁNYZAT!AB12</f>
        <v>50318904</v>
      </c>
      <c r="AD12" s="55">
        <f>BÖLCSŐDE!AC12+FALUHÁZ!AB12+ÓVODA!AC12+PMH!AC12+ÖNKORMÁNYZAT!AC12</f>
        <v>57066770</v>
      </c>
      <c r="AE12" s="223">
        <f>BÖLCSŐDE!AE12+FALUHÁZ!AD12+ÓVODA!AE12+PMH!AE12+ÖNKORMÁNYZAT!AD12</f>
        <v>78751174</v>
      </c>
      <c r="AF12" s="122">
        <f t="shared" si="3"/>
        <v>65.076394797671654</v>
      </c>
      <c r="AG12" s="55">
        <f>BÖLCSŐDE!AG12+FALUHÁZ!AG12+ÓVODA!AG12+PMH!AG12+ÖNKORMÁNYZAT!AG12</f>
        <v>84082610</v>
      </c>
      <c r="AH12" s="55"/>
      <c r="AI12" s="55">
        <f>BÖLCSŐDE!AI12+FALUHÁZ!AJ12+ÓVODA!AI12+PMH!AI12+ÖNKORMÁNYZAT!AI12</f>
        <v>102917114.64</v>
      </c>
      <c r="AJ12" s="55"/>
      <c r="AK12" s="55">
        <f>BÖLCSŐDE!AL12+FALUHÁZ!AK12+ÓVODA!AK12+PMH!AK12+ÖNKORMÁNYZAT!AK12</f>
        <v>102917114.64</v>
      </c>
      <c r="AM12" s="55">
        <f>BÖLCSŐDE!AM12+FALUHÁZ!AM12+ÓVODA!AM12+PMH!AM12+ÖNKORMÁNYZAT!AM12</f>
        <v>88637308</v>
      </c>
      <c r="AN12" s="55">
        <f>BÖLCSŐDE!AN12+FALUHÁZ!AN12+ÓVODA!AP12+PMH!AN12+ÖNKORMÁNYZAT!AP12</f>
        <v>102917115</v>
      </c>
      <c r="AO12" s="55">
        <f>BÖLCSŐDE!AO12+FALUHÁZ!AO12+ÓVODA!AQ12+PMH!AO12+ÖNKORMÁNYZAT!AQ12</f>
        <v>83323639</v>
      </c>
      <c r="AP12" s="55">
        <f>BÖLCSŐDE!AP12+FALUHÁZ!AP12+ÓVODA!AP12+PMH!AP12+ÖNKORMÁNYZAT!AP12</f>
        <v>102917115</v>
      </c>
      <c r="AQ12" s="55">
        <f>BÖLCSŐDE!AQ12+FALUHÁZ!AQ12+ÓVODA!AQ12+PMH!AQ12+ÖNKORMÁNYZAT!AQ12</f>
        <v>83323639</v>
      </c>
      <c r="AR12" s="55">
        <f t="shared" si="4"/>
        <v>19593476</v>
      </c>
      <c r="AS12" s="54">
        <f t="shared" si="5"/>
        <v>80.961887631615014</v>
      </c>
      <c r="AT12" s="55">
        <f>BÖLCSŐDE!AT12+FALUHÁZ!AT12+ÓVODA!AT12+PMH!AT12+ÖNKORMÁNYZAT!AT12</f>
        <v>88002620</v>
      </c>
      <c r="AU12" s="55">
        <f t="shared" si="6"/>
        <v>14914495</v>
      </c>
      <c r="AV12" s="54">
        <f t="shared" si="7"/>
        <v>14.491753873979075</v>
      </c>
      <c r="AW12" s="55">
        <f>BÖLCSŐDE!AW12+FALUHÁZ!AW12+ÓVODA!AW12+PMH!AW12+ÖNKORMÁNYZAT!AW12</f>
        <v>102917115</v>
      </c>
      <c r="AX12" s="55">
        <f>BÖLCSŐDE!AX12+FALUHÁZ!AX12+ÓVODA!AX12+PMH!AX12+ÖNKORMÁNYZAT!AX12</f>
        <v>102917115</v>
      </c>
      <c r="AY12" s="55">
        <f>BÖLCSŐDE!AY12+FALUHÁZ!AY12+ÓVODA!AY12+PMH!AY12+ÖNKORMÁNYZAT!AY12</f>
        <v>102917115</v>
      </c>
      <c r="AZ12" s="55">
        <f>BÖLCSŐDE!AZ12+FALUHÁZ!AZ12+ÓVODA!AZ12+PMH!AZ12+ÖNKORMÁNYZAT!AZ12</f>
        <v>102917115</v>
      </c>
      <c r="BA12" s="55">
        <f>BÖLCSŐDE!BA12+FALUHÁZ!BA12+ÓVODA!BA12+PMH!BA12+ÖNKORMÁNYZAT!BA12</f>
        <v>102917115</v>
      </c>
      <c r="BB12" s="501">
        <f>BÖLCSŐDE!BB12+FALUHÁZ!BB12+ÓVODA!BB12+PMH!BB12+ÖNKORMÁNYZAT!BB12</f>
        <v>102917115</v>
      </c>
      <c r="BC12" s="501">
        <f>BÖLCSŐDE!BC12+FALUHÁZ!BC12+ÓVODA!BC12+PMH!BC12+ÖNKORMÁNYZAT!BC12</f>
        <v>102917115</v>
      </c>
      <c r="BD12" s="501">
        <f>BÖLCSŐDE!BD12+FALUHÁZ!BD12+ÓVODA!BD12+PMH!BD12+ÖNKORMÁNYZAT!BD12</f>
        <v>62408872</v>
      </c>
      <c r="BE12" s="501">
        <f>BÖLCSŐDE!BE12+FALUHÁZ!BE12+ÓVODA!BE12+PMH!BE12+ÖNKORMÁNYZAT!BE12</f>
        <v>90458549</v>
      </c>
      <c r="BF12" s="501">
        <f>BÖLCSŐDE!BF12+FALUHÁZ!BF12+ÓVODA!BF12+PMH!BF12+ÖNKORMÁNYZAT!BF12</f>
        <v>94008833</v>
      </c>
      <c r="BG12" s="383">
        <f>BÖLCSŐDE!BG12+FALUHÁZ!BG12+ÓVODA!BG12+PMH!BG12+ÖNKORMÁNYZAT!BG12</f>
        <v>112810599.60000001</v>
      </c>
      <c r="BH12" s="65">
        <f>BÖLCSŐDE!BH12+FALUHÁZ!BH12+ÓVODA!BH12+PMH!BH12+ÖNKORMÁNYZAT!BH12</f>
        <v>110660243</v>
      </c>
      <c r="BI12" s="65">
        <f>BÖLCSŐDE!BI12+FALUHÁZ!BI12+ÓVODA!BI12+PMH!BI12+ÖNKORMÁNYZAT!BI12</f>
        <v>110660243</v>
      </c>
      <c r="BJ12" s="65">
        <f>BÖLCSŐDE!BJ12+FALUHÁZ!BJ12+ÓVODA!BJ12+PMH!BJ12+ÖNKORMÁNYZAT!BJ12</f>
        <v>61434048</v>
      </c>
      <c r="BK12" s="65">
        <f>BÖLCSŐDE!BK12+FALUHÁZ!BK12+ÓVODA!BK12+PMH!BK12+ÖNKORMÁNYZAT!BK12</f>
        <v>91586738</v>
      </c>
      <c r="BL12" s="65">
        <f>BÖLCSŐDE!BL12+FALUHÁZ!BL12+ÓVODA!BL12+PMH!BL12+ÖNKORMÁNYZAT!BL12</f>
        <v>110660243</v>
      </c>
      <c r="BM12" s="65">
        <f>BÖLCSŐDE!BM12+FALUHÁZ!BM12+ÓVODA!BM12+PMH!BM12+ÖNKORMÁNYZAT!BM12</f>
        <v>114336996</v>
      </c>
      <c r="BN12" s="65">
        <f>BÖLCSŐDE!BN12+FALUHÁZ!BN12+ÓVODA!BN12+PMH!BN12+ÖNKORMÁNYZAT!BN12</f>
        <v>114336996</v>
      </c>
      <c r="BO12" s="65">
        <f>BÖLCSŐDE!BO12+FALUHÁZ!BO12+ÓVODA!BO12+PMH!BO12+ÖNKORMÁNYZAT!BO12</f>
        <v>94586124</v>
      </c>
      <c r="BP12" s="65">
        <f>BÖLCSŐDE!BP12+FALUHÁZ!BP12+ÓVODA!BP12+PMH!BP12+ÖNKORMÁNYZAT!BP12</f>
        <v>113503348.80000001</v>
      </c>
      <c r="BQ12" s="65">
        <f>BÖLCSŐDE!BQ12+FALUHÁZ!BQ12+ÓVODA!BQ12+PMH!BQ12+ÖNKORMÁNYZAT!BQ12</f>
        <v>114336996</v>
      </c>
      <c r="BR12" s="65">
        <f>BÖLCSŐDE!BR12+FALUHÁZ!BR12+ÓVODA!BR12+PMH!BR12+ÖNKORMÁNYZAT!BR12</f>
        <v>114336996</v>
      </c>
      <c r="BS12" s="65">
        <f>BÖLCSŐDE!BS12+FALUHÁZ!BS12+ÓVODA!BS12+PMH!BS12+ÖNKORMÁNYZAT!BS12</f>
        <v>114336996</v>
      </c>
      <c r="BT12" s="65">
        <f>BÖLCSŐDE!BT12+FALUHÁZ!BT12+ÓVODA!BT12+PMH!BT12+ÖNKORMÁNYZAT!BT12</f>
        <v>144336996</v>
      </c>
      <c r="BU12" s="65">
        <f>BÖLCSŐDE!BU12+FALUHÁZ!BU12+ÓVODA!BU12+PMH!BU12+ÖNKORMÁNYZAT!BU12</f>
        <v>134000000</v>
      </c>
      <c r="BV12" s="65">
        <f>BÖLCSŐDE!BV12+FALUHÁZ!BV12+ÓVODA!BV12+PMH!BV12+ÖNKORMÁNYZAT!BV12</f>
        <v>115827624</v>
      </c>
    </row>
    <row r="13" spans="1:74" x14ac:dyDescent="0.25">
      <c r="A13" s="54" t="s">
        <v>15</v>
      </c>
      <c r="B13" s="55" t="s">
        <v>183</v>
      </c>
      <c r="C13" s="55">
        <f>BÖLCSŐDE!C13+FALUHÁZ!C13+ÓVODA!C13+PMH!C13+ÖNKORMÁNYZAT!C13</f>
        <v>39806082</v>
      </c>
      <c r="D13" s="55">
        <f>BÖLCSŐDE!D13+FALUHÁZ!D13+ÓVODA!D13+PMH!D13+ÖNKORMÁNYZAT!D13</f>
        <v>42120047</v>
      </c>
      <c r="E13" s="55">
        <f>BÖLCSŐDE!E13+FALUHÁZ!E13+ÓVODA!E13+PMH!E13+ÖNKORMÁNYZAT!E13</f>
        <v>39806083</v>
      </c>
      <c r="F13" s="55">
        <f>BÖLCSŐDE!F13+FALUHÁZ!F13+ÓVODA!F13+PMH!F13+ÖNKORMÁNYZAT!F13</f>
        <v>27029326</v>
      </c>
      <c r="G13" s="55">
        <f>BÖLCSŐDE!G13+FALUHÁZ!G13+ÓVODA!G13+PMH!G13+ÖNKORMÁNYZAT!G13</f>
        <v>39806083</v>
      </c>
      <c r="H13" s="55">
        <f>BÖLCSŐDE!H13+FALUHÁZ!H13+ÓVODA!H13+PMH!H13+ÖNKORMÁNYZAT!H13</f>
        <v>28990387</v>
      </c>
      <c r="I13" s="55">
        <f t="shared" si="0"/>
        <v>31625876.727272727</v>
      </c>
      <c r="J13" s="55">
        <v>39806083</v>
      </c>
      <c r="K13" s="55">
        <v>39806083</v>
      </c>
      <c r="L13" s="55">
        <f>BÖLCSŐDE!L13+FALUHÁZ!L13+ÓVODA!L13+PMH!L13+ÖNKORMÁNYZAT!L13</f>
        <v>39806083</v>
      </c>
      <c r="M13" s="1">
        <f t="shared" si="1"/>
        <v>125.86554783372388</v>
      </c>
      <c r="O13" s="55">
        <f>BÖLCSŐDE!O13+FALUHÁZ!N13+ÓVODA!O13+PMH!O13+ÖNKORMÁNYZAT!O13</f>
        <v>39806083</v>
      </c>
      <c r="P13" s="55">
        <f>BÖLCSŐDE!P13+FALUHÁZ!O13+ÓVODA!P13+PMH!P13+ÖNKORMÁNYZAT!P13</f>
        <v>32509774</v>
      </c>
      <c r="Q13" s="55">
        <f>BÖLCSŐDE!Q13+FALUHÁZ!P13+ÓVODA!Q13+PMH!Q13+ÖNKORMÁNYZAT!Q13</f>
        <v>34967296</v>
      </c>
      <c r="R13" s="55">
        <f>BÖLCSŐDE!R13+FALUHÁZ!Q13+ÓVODA!R13+PMH!R13+ÖNKORMÁNYZAT!R13</f>
        <v>39806083</v>
      </c>
      <c r="S13" s="55">
        <f>BÖLCSŐDE!S13+FALUHÁZ!R13+ÓVODA!S13+PMH!S13+ÖNKORMÁNYZAT!S13</f>
        <v>39806083</v>
      </c>
      <c r="T13" s="55">
        <f>BÖLCSŐDE!T13+FALUHÁZ!S13+ÓVODA!T13+PMH!T13+ÖNKORMÁNYZAT!T13</f>
        <v>41032964</v>
      </c>
      <c r="U13" s="55">
        <f>BÖLCSŐDE!U13+FALUHÁZ!T13+ÓVODA!U13+PMH!U13+ÖNKORMÁNYZAT!U13</f>
        <v>39806083</v>
      </c>
      <c r="V13" s="55">
        <f>BÖLCSŐDE!V13+FALUHÁZ!U13+ÓVODA!V13+PMH!V13+ÖNKORMÁNYZAT!V13</f>
        <v>39806083</v>
      </c>
      <c r="W13" s="55">
        <f>BÖLCSŐDE!W13+FALUHÁZ!V13+ÓVODA!W13+PMH!W13+ÖNKORMÁNYZAT!W13</f>
        <v>39806083</v>
      </c>
      <c r="X13" s="122">
        <f t="shared" si="2"/>
        <v>103.08214450540135</v>
      </c>
      <c r="AA13" s="55">
        <f>BÖLCSŐDE!AA13+FALUHÁZ!Z13+ÓVODA!AA13+PMH!AA13+ÖNKORMÁNYZAT!AA13</f>
        <v>43398653</v>
      </c>
      <c r="AB13" s="55">
        <f>BÖLCSŐDE!AB13+FALUHÁZ!AA13+ÓVODA!AB13+PMH!AB13+ÖNKORMÁNYZAT!AB13</f>
        <v>19036725</v>
      </c>
      <c r="AC13" s="55">
        <f>BÖLCSŐDE!AB13+FALUHÁZ!AA13+ÓVODA!AB13+PMH!AB13+ÖNKORMÁNYZAT!AB13</f>
        <v>19036725</v>
      </c>
      <c r="AD13" s="55">
        <f>BÖLCSŐDE!AC13+FALUHÁZ!AB13+ÓVODA!AC13+PMH!AC13+ÖNKORMÁNYZAT!AC13</f>
        <v>21803463</v>
      </c>
      <c r="AE13" s="223">
        <f>BÖLCSŐDE!AE13+FALUHÁZ!AD13+ÓVODA!AE13+PMH!AE13+ÖNKORMÁNYZAT!AD13</f>
        <v>35960793</v>
      </c>
      <c r="AF13" s="122">
        <f t="shared" si="3"/>
        <v>50.239953299933063</v>
      </c>
      <c r="AG13" s="55">
        <f>BÖLCSŐDE!AG13+FALUHÁZ!AG13+ÓVODA!AG13+PMH!AG13+ÖNKORMÁNYZAT!AG13</f>
        <v>38548695</v>
      </c>
      <c r="AH13" s="55"/>
      <c r="AI13" s="55">
        <f>BÖLCSŐDE!AI13+FALUHÁZ!AJ13+ÓVODA!AI13+PMH!AI13+ÖNKORMÁNYZAT!AI13</f>
        <v>47183602.68</v>
      </c>
      <c r="AJ13" s="55"/>
      <c r="AK13" s="55">
        <f>BÖLCSŐDE!AL13+FALUHÁZ!AK13+ÓVODA!AK13+PMH!AK13+ÖNKORMÁNYZAT!AK13</f>
        <v>47183602.68</v>
      </c>
      <c r="AM13" s="55">
        <f>BÖLCSŐDE!AM13+FALUHÁZ!AM13+ÓVODA!AM13+PMH!AM13+ÖNKORMÁNYZAT!AM13</f>
        <v>44845969</v>
      </c>
      <c r="AN13" s="55">
        <f>BÖLCSŐDE!AN13+FALUHÁZ!AN13+ÓVODA!AP13+PMH!AN13+ÖNKORMÁNYZAT!AP13</f>
        <v>47183603</v>
      </c>
      <c r="AO13" s="55">
        <f>BÖLCSŐDE!AO13+FALUHÁZ!AO13+ÓVODA!AQ13+PMH!AO13+ÖNKORMÁNYZAT!AQ13</f>
        <v>33014647</v>
      </c>
      <c r="AP13" s="55">
        <f>BÖLCSŐDE!AP13+FALUHÁZ!AP13+ÓVODA!AP13+PMH!AP13+ÖNKORMÁNYZAT!AP13</f>
        <v>47183603</v>
      </c>
      <c r="AQ13" s="55">
        <f>BÖLCSŐDE!AQ13+FALUHÁZ!AQ13+ÓVODA!AQ13+PMH!AQ13+ÖNKORMÁNYZAT!AQ13</f>
        <v>33014647</v>
      </c>
      <c r="AR13" s="55">
        <f t="shared" si="4"/>
        <v>14168956</v>
      </c>
      <c r="AS13" s="54">
        <f t="shared" si="5"/>
        <v>69.970593386011657</v>
      </c>
      <c r="AT13" s="55">
        <f>BÖLCSŐDE!AT13+FALUHÁZ!AT13+ÓVODA!AT13+PMH!AT13+ÖNKORMÁNYZAT!AT13</f>
        <v>37244154</v>
      </c>
      <c r="AU13" s="55">
        <f t="shared" si="6"/>
        <v>9939449</v>
      </c>
      <c r="AV13" s="54">
        <f t="shared" si="7"/>
        <v>21.065472681261753</v>
      </c>
      <c r="AW13" s="55">
        <f>BÖLCSŐDE!AW13+FALUHÁZ!AW13+ÓVODA!AW13+PMH!AW13+ÖNKORMÁNYZAT!AW13</f>
        <v>47183603</v>
      </c>
      <c r="AX13" s="55">
        <f>BÖLCSŐDE!AX13+FALUHÁZ!AX13+ÓVODA!AX13+PMH!AX13+ÖNKORMÁNYZAT!AX13</f>
        <v>23591801.5</v>
      </c>
      <c r="AY13" s="55">
        <f>BÖLCSŐDE!AY13+FALUHÁZ!AY13+ÓVODA!AY13+PMH!AY13+ÖNKORMÁNYZAT!AY13</f>
        <v>30591801.5</v>
      </c>
      <c r="AZ13" s="55">
        <f>BÖLCSŐDE!AZ13+FALUHÁZ!AZ13+ÓVODA!AZ13+PMH!AZ13+ÖNKORMÁNYZAT!AZ13</f>
        <v>30591801.5</v>
      </c>
      <c r="BA13" s="55">
        <f>BÖLCSŐDE!BA13+FALUHÁZ!BA13+ÓVODA!BA13+PMH!BA13+ÖNKORMÁNYZAT!BA13</f>
        <v>30591801.5</v>
      </c>
      <c r="BB13" s="501">
        <f>BÖLCSŐDE!BB13+FALUHÁZ!BB13+ÓVODA!BB13+PMH!BB13+ÖNKORMÁNYZAT!BB13</f>
        <v>30591802</v>
      </c>
      <c r="BC13" s="501">
        <f>BÖLCSŐDE!BC13+FALUHÁZ!BC13+ÓVODA!BC13+PMH!BC13+ÖNKORMÁNYZAT!BC13</f>
        <v>30591802</v>
      </c>
      <c r="BD13" s="501">
        <f>BÖLCSŐDE!BD13+FALUHÁZ!BD13+ÓVODA!BD13+PMH!BD13+ÖNKORMÁNYZAT!BD13</f>
        <v>32964018</v>
      </c>
      <c r="BE13" s="501">
        <f>BÖLCSŐDE!BE13+FALUHÁZ!BE13+ÓVODA!BE13+PMH!BE13+ÖNKORMÁNYZAT!BE13</f>
        <v>48610743</v>
      </c>
      <c r="BF13" s="501">
        <f>BÖLCSŐDE!BF13+FALUHÁZ!BF13+ÓVODA!BF13+PMH!BF13+ÖNKORMÁNYZAT!BF13</f>
        <v>50060449</v>
      </c>
      <c r="BG13" s="383">
        <f>BÖLCSŐDE!BG13+FALUHÁZ!BG13+ÓVODA!BG13+PMH!BG13+ÖNKORMÁNYZAT!BG13</f>
        <v>60072538.800000004</v>
      </c>
      <c r="BH13" s="65">
        <f>BÖLCSŐDE!BH13+FALUHÁZ!BH13+ÓVODA!BH13+PMH!BH13+ÖNKORMÁNYZAT!BH13</f>
        <v>52000000</v>
      </c>
      <c r="BI13" s="65">
        <f>BÖLCSŐDE!BI13+FALUHÁZ!BI13+ÓVODA!BI13+PMH!BI13+ÖNKORMÁNYZAT!BI13</f>
        <v>52000000</v>
      </c>
      <c r="BJ13" s="65">
        <f>BÖLCSŐDE!BJ13+FALUHÁZ!BJ13+ÓVODA!BJ13+PMH!BJ13+ÖNKORMÁNYZAT!BJ13</f>
        <v>28472819</v>
      </c>
      <c r="BK13" s="65">
        <f>BÖLCSŐDE!BK13+FALUHÁZ!BK13+ÓVODA!BK13+PMH!BK13+ÖNKORMÁNYZAT!BK13</f>
        <v>49418162</v>
      </c>
      <c r="BL13" s="65">
        <f>BÖLCSŐDE!BL13+FALUHÁZ!BL13+ÓVODA!BL13+PMH!BL13+ÖNKORMÁNYZAT!BL13</f>
        <v>52000000</v>
      </c>
      <c r="BM13" s="65">
        <f>BÖLCSŐDE!BM13+FALUHÁZ!BM13+ÓVODA!BM13+PMH!BM13+ÖNKORMÁNYZAT!BM13</f>
        <v>75244966</v>
      </c>
      <c r="BN13" s="65">
        <f>BÖLCSŐDE!BN13+FALUHÁZ!BN13+ÓVODA!BN13+PMH!BN13+ÖNKORMÁNYZAT!BN13</f>
        <v>75244966</v>
      </c>
      <c r="BO13" s="65">
        <f>BÖLCSŐDE!BO13+FALUHÁZ!BO13+ÓVODA!BO13+PMH!BO13+ÖNKORMÁNYZAT!BO13</f>
        <v>50789981</v>
      </c>
      <c r="BP13" s="65">
        <f>BÖLCSŐDE!BP13+FALUHÁZ!BP13+ÓVODA!BP13+PMH!BP13+ÖNKORMÁNYZAT!BP13</f>
        <v>60947977.199999996</v>
      </c>
      <c r="BQ13" s="65">
        <f>BÖLCSŐDE!BQ13+FALUHÁZ!BQ13+ÓVODA!BQ13+PMH!BQ13+ÖNKORMÁNYZAT!BQ13</f>
        <v>75244966</v>
      </c>
      <c r="BR13" s="65">
        <f>BÖLCSŐDE!BR13+FALUHÁZ!BR13+ÓVODA!BR13+PMH!BR13+ÖNKORMÁNYZAT!BR13</f>
        <v>75244966</v>
      </c>
      <c r="BS13" s="65">
        <f>BÖLCSŐDE!BS13+FALUHÁZ!BS13+ÓVODA!BS13+PMH!BS13+ÖNKORMÁNYZAT!BS13</f>
        <v>75244966</v>
      </c>
      <c r="BT13" s="65">
        <f>BÖLCSŐDE!BT13+FALUHÁZ!BT13+ÓVODA!BT13+PMH!BT13+ÖNKORMÁNYZAT!BT13</f>
        <v>75244966</v>
      </c>
      <c r="BU13" s="65">
        <f>BÖLCSŐDE!BU13+FALUHÁZ!BU13+ÓVODA!BU13+PMH!BU13+ÖNKORMÁNYZAT!BU13</f>
        <v>111000000</v>
      </c>
      <c r="BV13" s="65">
        <f>BÖLCSŐDE!BV13+FALUHÁZ!BV13+ÓVODA!BV13+PMH!BV13+ÖNKORMÁNYZAT!BV13</f>
        <v>123642422</v>
      </c>
    </row>
    <row r="14" spans="1:74" x14ac:dyDescent="0.25">
      <c r="A14" s="54" t="s">
        <v>16</v>
      </c>
      <c r="B14" s="55" t="s">
        <v>184</v>
      </c>
      <c r="C14" s="55">
        <f>BÖLCSŐDE!C14+FALUHÁZ!C14+ÓVODA!C14+PMH!C14+ÖNKORMÁNYZAT!C14</f>
        <v>7721031.2000000002</v>
      </c>
      <c r="D14" s="55">
        <f>BÖLCSŐDE!D14+FALUHÁZ!D14+ÓVODA!D14+PMH!D14+ÖNKORMÁNYZAT!D14</f>
        <v>7401242</v>
      </c>
      <c r="E14" s="55">
        <f>BÖLCSŐDE!E14+FALUHÁZ!E14+ÓVODA!E14+PMH!E14+ÖNKORMÁNYZAT!E14</f>
        <v>7721031.2000000002</v>
      </c>
      <c r="F14" s="55">
        <f>BÖLCSŐDE!F14+FALUHÁZ!F14+ÓVODA!F14+PMH!F14+ÖNKORMÁNYZAT!F14</f>
        <v>7573268</v>
      </c>
      <c r="G14" s="55">
        <f>BÖLCSŐDE!G14+FALUHÁZ!G14+ÓVODA!G14+PMH!G14+ÖNKORMÁNYZAT!G14</f>
        <v>7721031</v>
      </c>
      <c r="H14" s="55">
        <f>BÖLCSŐDE!H14+FALUHÁZ!H14+ÓVODA!H14+PMH!H14+ÖNKORMÁNYZAT!H14</f>
        <v>8479175</v>
      </c>
      <c r="I14" s="55">
        <f t="shared" si="0"/>
        <v>9250009.0909090918</v>
      </c>
      <c r="J14" s="55">
        <v>7721031.2000000002</v>
      </c>
      <c r="K14" s="55">
        <v>7721031.2000000002</v>
      </c>
      <c r="L14" s="55">
        <f>BÖLCSŐDE!L14+FALUHÁZ!L14+ÓVODA!L14+PMH!L14+ÖNKORMÁNYZAT!L14</f>
        <v>7721031.2000000002</v>
      </c>
      <c r="M14" s="1">
        <f t="shared" si="1"/>
        <v>83.470525532653028</v>
      </c>
      <c r="O14" s="55">
        <f>BÖLCSŐDE!O14+FALUHÁZ!N14+ÓVODA!O14+PMH!O14+ÖNKORMÁNYZAT!O14</f>
        <v>7721031</v>
      </c>
      <c r="P14" s="55">
        <f>BÖLCSŐDE!P14+FALUHÁZ!O14+ÓVODA!P14+PMH!P14+ÖNKORMÁNYZAT!P14</f>
        <v>7151411</v>
      </c>
      <c r="Q14" s="55">
        <f>BÖLCSŐDE!Q14+FALUHÁZ!P14+ÓVODA!Q14+PMH!Q14+ÖNKORMÁNYZAT!Q14</f>
        <v>7630644</v>
      </c>
      <c r="R14" s="55">
        <f>BÖLCSŐDE!R14+FALUHÁZ!Q14+ÓVODA!R14+PMH!R14+ÖNKORMÁNYZAT!R14</f>
        <v>7721031</v>
      </c>
      <c r="S14" s="55">
        <f>BÖLCSŐDE!S14+FALUHÁZ!R14+ÓVODA!S14+PMH!S14+ÖNKORMÁNYZAT!S14</f>
        <v>7721031</v>
      </c>
      <c r="T14" s="55">
        <f>BÖLCSŐDE!T14+FALUHÁZ!S14+ÓVODA!T14+PMH!T14+ÖNKORMÁNYZAT!T14</f>
        <v>8257847</v>
      </c>
      <c r="U14" s="55">
        <f>BÖLCSŐDE!U14+FALUHÁZ!T14+ÓVODA!U14+PMH!U14+ÖNKORMÁNYZAT!U14</f>
        <v>7721031</v>
      </c>
      <c r="V14" s="55">
        <f>BÖLCSŐDE!V14+FALUHÁZ!U14+ÓVODA!V14+PMH!V14+ÖNKORMÁNYZAT!V14</f>
        <v>7721031</v>
      </c>
      <c r="W14" s="55">
        <f>BÖLCSŐDE!W14+FALUHÁZ!V14+ÓVODA!W14+PMH!W14+ÖNKORMÁNYZAT!W14</f>
        <v>7721031</v>
      </c>
      <c r="X14" s="122">
        <f t="shared" si="2"/>
        <v>106.95264660898268</v>
      </c>
      <c r="AA14" s="55">
        <f>BÖLCSŐDE!AA14+FALUHÁZ!Z14+ÓVODA!AA14+PMH!AA14+ÖNKORMÁNYZAT!AA14</f>
        <v>8689540.4000000004</v>
      </c>
      <c r="AB14" s="55">
        <f>BÖLCSŐDE!AB14+FALUHÁZ!AA14+ÓVODA!AB14+PMH!AB14+ÖNKORMÁNYZAT!AB14</f>
        <v>4829999</v>
      </c>
      <c r="AC14" s="55">
        <f>BÖLCSŐDE!AB14+FALUHÁZ!AA14+ÓVODA!AB14+PMH!AB14+ÖNKORMÁNYZAT!AB14</f>
        <v>4829999</v>
      </c>
      <c r="AD14" s="55">
        <f>BÖLCSŐDE!AC14+FALUHÁZ!AB14+ÓVODA!AC14+PMH!AC14+ÖNKORMÁNYZAT!AC14</f>
        <v>5660956</v>
      </c>
      <c r="AE14" s="223">
        <f>BÖLCSŐDE!AE14+FALUHÁZ!AD14+ÓVODA!AE14+PMH!AE14+ÖNKORMÁNYZAT!AD14</f>
        <v>7905685</v>
      </c>
      <c r="AF14" s="122">
        <f t="shared" si="3"/>
        <v>65.146782676791517</v>
      </c>
      <c r="AG14" s="55">
        <f>BÖLCSŐDE!AG14+FALUHÁZ!AG14+ÓVODA!AG14+PMH!AG14+ÖNKORMÁNYZAT!AG14</f>
        <v>8373992</v>
      </c>
      <c r="AH14" s="55"/>
      <c r="AI14" s="55">
        <f>BÖLCSŐDE!AI14+FALUHÁZ!AJ14+ÓVODA!AI14+PMH!AI14+ÖNKORMÁNYZAT!AI14</f>
        <v>10249766.207999999</v>
      </c>
      <c r="AJ14" s="55"/>
      <c r="AK14" s="55">
        <f>BÖLCSŐDE!AL14+FALUHÁZ!AK14+ÓVODA!AK14+PMH!AK14+ÖNKORMÁNYZAT!AK14</f>
        <v>10249766.207999999</v>
      </c>
      <c r="AM14" s="55">
        <f>BÖLCSŐDE!AM14+FALUHÁZ!AM14+ÓVODA!AM14+PMH!AM14+ÖNKORMÁNYZAT!AM14</f>
        <v>8853407</v>
      </c>
      <c r="AN14" s="55">
        <f>BÖLCSŐDE!AN14+FALUHÁZ!AN14+ÓVODA!AP14+PMH!AN14+ÖNKORMÁNYZAT!AP14</f>
        <v>10249766</v>
      </c>
      <c r="AO14" s="55">
        <f>BÖLCSŐDE!AO14+FALUHÁZ!AO14+ÓVODA!AQ14+PMH!AO14+ÖNKORMÁNYZAT!AQ14</f>
        <v>6706567</v>
      </c>
      <c r="AP14" s="55">
        <f>BÖLCSŐDE!AP14+FALUHÁZ!AP14+ÓVODA!AP14+PMH!AP14+ÖNKORMÁNYZAT!AP14</f>
        <v>10249766</v>
      </c>
      <c r="AQ14" s="55">
        <f>BÖLCSŐDE!AQ14+FALUHÁZ!AQ14+ÓVODA!AQ14+PMH!AQ14+ÖNKORMÁNYZAT!AQ14</f>
        <v>6706567</v>
      </c>
      <c r="AR14" s="55">
        <f t="shared" si="4"/>
        <v>3543199</v>
      </c>
      <c r="AS14" s="54">
        <f t="shared" si="5"/>
        <v>65.431415702563356</v>
      </c>
      <c r="AT14" s="55">
        <f>BÖLCSŐDE!AT14+FALUHÁZ!AT14+ÓVODA!AT14+PMH!AT14+ÖNKORMÁNYZAT!AT14</f>
        <v>0</v>
      </c>
      <c r="AU14" s="55">
        <f t="shared" si="6"/>
        <v>10249766</v>
      </c>
      <c r="AV14" s="54">
        <f t="shared" si="7"/>
        <v>100</v>
      </c>
      <c r="AW14" s="55">
        <f>BÖLCSŐDE!AW14+FALUHÁZ!AW14+ÓVODA!AW14+PMH!AW14+ÖNKORMÁNYZAT!AW14</f>
        <v>10249766</v>
      </c>
      <c r="AX14" s="55">
        <f>BÖLCSŐDE!AX14+FALUHÁZ!AX14+ÓVODA!AX14+PMH!AX14+ÖNKORMÁNYZAT!AX14</f>
        <v>0</v>
      </c>
      <c r="AY14" s="55">
        <f>BÖLCSŐDE!AY14+FALUHÁZ!AY14+ÓVODA!AY14+PMH!AY14+ÖNKORMÁNYZAT!AY14</f>
        <v>0</v>
      </c>
      <c r="AZ14" s="55">
        <f>BÖLCSŐDE!AZ14+FALUHÁZ!AZ14+ÓVODA!AZ14+PMH!AZ14+ÖNKORMÁNYZAT!AZ14</f>
        <v>0</v>
      </c>
      <c r="BA14" s="55">
        <f>BÖLCSŐDE!BA14+FALUHÁZ!BA14+ÓVODA!BA14+PMH!BA14+ÖNKORMÁNYZAT!BA14</f>
        <v>0</v>
      </c>
      <c r="BB14" s="501">
        <f>BÖLCSŐDE!BB14+FALUHÁZ!BB14+ÓVODA!BB14+PMH!BB14+ÖNKORMÁNYZAT!BB14</f>
        <v>0</v>
      </c>
      <c r="BC14" s="501">
        <f>BÖLCSŐDE!BC14+FALUHÁZ!BC14+ÓVODA!BC14+PMH!BC14+ÖNKORMÁNYZAT!BC14</f>
        <v>0</v>
      </c>
      <c r="BD14" s="501">
        <f>BÖLCSŐDE!BD14+FALUHÁZ!BD14+ÓVODA!BD14+PMH!BD14+ÖNKORMÁNYZAT!BD14</f>
        <v>0</v>
      </c>
      <c r="BE14" s="501">
        <f>BÖLCSŐDE!BE14+FALUHÁZ!BE14+ÓVODA!BE14+PMH!BE14+ÖNKORMÁNYZAT!BE14</f>
        <v>0</v>
      </c>
      <c r="BF14" s="501">
        <f>BÖLCSŐDE!BF14+FALUHÁZ!BF14+ÓVODA!BF14+PMH!BF14+ÖNKORMÁNYZAT!BF14</f>
        <v>0</v>
      </c>
      <c r="BG14" s="383">
        <f>BÖLCSŐDE!BG14+FALUHÁZ!BG14+ÓVODA!BG14+PMH!BG14+ÖNKORMÁNYZAT!BG14</f>
        <v>0</v>
      </c>
      <c r="BH14" s="65">
        <f>BÖLCSŐDE!BH14+FALUHÁZ!BH14+ÓVODA!BH14+PMH!BH14+ÖNKORMÁNYZAT!BH14</f>
        <v>0</v>
      </c>
      <c r="BI14" s="65">
        <f>BÖLCSŐDE!BI14+FALUHÁZ!BI14+ÓVODA!BI14+PMH!BI14+ÖNKORMÁNYZAT!BI14</f>
        <v>0</v>
      </c>
      <c r="BJ14" s="65">
        <f>BÖLCSŐDE!BJ14+FALUHÁZ!BJ14+ÓVODA!BJ14+PMH!BJ14+ÖNKORMÁNYZAT!BJ14</f>
        <v>0</v>
      </c>
      <c r="BK14" s="65">
        <f>BÖLCSŐDE!BK14+FALUHÁZ!BK14+ÓVODA!BK14+PMH!BK14+ÖNKORMÁNYZAT!BK14</f>
        <v>0</v>
      </c>
      <c r="BL14" s="65">
        <f>BÖLCSŐDE!BL14+FALUHÁZ!BL14+ÓVODA!BL14+PMH!BL14+ÖNKORMÁNYZAT!BL14</f>
        <v>0</v>
      </c>
      <c r="BM14" s="65">
        <f>BÖLCSŐDE!BM14+FALUHÁZ!BM14+ÓVODA!BM14+PMH!BM14+ÖNKORMÁNYZAT!BM14</f>
        <v>0</v>
      </c>
      <c r="BN14" s="65">
        <f>BÖLCSŐDE!BN14+FALUHÁZ!BN14+ÓVODA!BN14+PMH!BN14+ÖNKORMÁNYZAT!BN14</f>
        <v>0</v>
      </c>
      <c r="BO14" s="65">
        <f>BÖLCSŐDE!BO14+FALUHÁZ!BO14+ÓVODA!BO14+PMH!BO14+ÖNKORMÁNYZAT!BO14</f>
        <v>0</v>
      </c>
      <c r="BP14" s="65">
        <f>BÖLCSŐDE!BP14+FALUHÁZ!BP14+ÓVODA!BP14+PMH!BP14+ÖNKORMÁNYZAT!BP14</f>
        <v>0</v>
      </c>
      <c r="BQ14" s="65">
        <f>BÖLCSŐDE!BQ14+FALUHÁZ!BQ14+ÓVODA!BQ14+PMH!BQ14+ÖNKORMÁNYZAT!BQ14</f>
        <v>0</v>
      </c>
      <c r="BR14" s="65">
        <f>BÖLCSŐDE!BR14+FALUHÁZ!BR14+ÓVODA!BR14+PMH!BR14+ÖNKORMÁNYZAT!BR14</f>
        <v>0</v>
      </c>
      <c r="BS14" s="65">
        <f>BÖLCSŐDE!BS14+FALUHÁZ!BS14+ÓVODA!BS14+PMH!BS14+ÖNKORMÁNYZAT!BS14</f>
        <v>0</v>
      </c>
      <c r="BT14" s="65">
        <f>BÖLCSŐDE!BT14+FALUHÁZ!BT14+ÓVODA!BT14+PMH!BT14+ÖNKORMÁNYZAT!BT14</f>
        <v>0</v>
      </c>
      <c r="BU14" s="65">
        <f>BÖLCSŐDE!BU14+FALUHÁZ!BU14+ÓVODA!BU14+PMH!BU14+ÖNKORMÁNYZAT!BU14</f>
        <v>0</v>
      </c>
      <c r="BV14" s="65">
        <f>BÖLCSŐDE!BV14+FALUHÁZ!BV14+ÓVODA!BV14+PMH!BV14+ÖNKORMÁNYZAT!BV14</f>
        <v>0</v>
      </c>
    </row>
    <row r="15" spans="1:74" x14ac:dyDescent="0.25">
      <c r="A15" s="54" t="s">
        <v>17</v>
      </c>
      <c r="B15" s="55" t="s">
        <v>185</v>
      </c>
      <c r="C15" s="55">
        <f>BÖLCSŐDE!C15+FALUHÁZ!C15+ÓVODA!C15+PMH!C15+ÖNKORMÁNYZAT!C15</f>
        <v>506000</v>
      </c>
      <c r="D15" s="55">
        <f>BÖLCSŐDE!D15+FALUHÁZ!D15+ÓVODA!D15+PMH!D15+ÖNKORMÁNYZAT!D15</f>
        <v>381000</v>
      </c>
      <c r="E15" s="55">
        <f>BÖLCSŐDE!E15+FALUHÁZ!E15+ÓVODA!E15+PMH!E15+ÖNKORMÁNYZAT!E15</f>
        <v>506001</v>
      </c>
      <c r="F15" s="55">
        <f>BÖLCSŐDE!F15+FALUHÁZ!F15+ÓVODA!F15+PMH!F15+ÖNKORMÁNYZAT!F15</f>
        <v>3559165</v>
      </c>
      <c r="G15" s="55">
        <f>BÖLCSŐDE!G15+FALUHÁZ!G15+ÓVODA!G15+PMH!G15+ÖNKORMÁNYZAT!G15</f>
        <v>506001</v>
      </c>
      <c r="H15" s="55">
        <f>BÖLCSŐDE!H15+FALUHÁZ!H15+ÓVODA!H15+PMH!H15+ÖNKORMÁNYZAT!H15</f>
        <v>3766395</v>
      </c>
      <c r="I15" s="55">
        <f t="shared" si="0"/>
        <v>4108794.5454545454</v>
      </c>
      <c r="J15" s="55">
        <v>506001</v>
      </c>
      <c r="K15" s="55">
        <v>506001</v>
      </c>
      <c r="L15" s="55">
        <f>BÖLCSŐDE!L15+FALUHÁZ!L15+ÓVODA!L15+PMH!L15+ÖNKORMÁNYZAT!L15</f>
        <v>506001</v>
      </c>
      <c r="M15" s="1">
        <f t="shared" si="1"/>
        <v>12.315071839252123</v>
      </c>
      <c r="O15" s="55">
        <f>BÖLCSŐDE!O15+FALUHÁZ!N15+ÓVODA!O15+PMH!O15+ÖNKORMÁNYZAT!O15</f>
        <v>506001</v>
      </c>
      <c r="P15" s="55">
        <f>BÖLCSŐDE!P15+FALUHÁZ!O15+ÓVODA!P15+PMH!P15+ÖNKORMÁNYZAT!P15</f>
        <v>2337243</v>
      </c>
      <c r="Q15" s="55">
        <f>BÖLCSŐDE!Q15+FALUHÁZ!P15+ÓVODA!Q15+PMH!Q15+ÖNKORMÁNYZAT!Q15</f>
        <v>2597943</v>
      </c>
      <c r="R15" s="55">
        <f>BÖLCSŐDE!R15+FALUHÁZ!Q15+ÓVODA!R15+PMH!R15+ÖNKORMÁNYZAT!R15</f>
        <v>506001</v>
      </c>
      <c r="S15" s="55">
        <f>BÖLCSŐDE!S15+FALUHÁZ!R15+ÓVODA!S15+PMH!S15+ÖNKORMÁNYZAT!S15</f>
        <v>506001</v>
      </c>
      <c r="T15" s="55">
        <f>BÖLCSŐDE!T15+FALUHÁZ!S15+ÓVODA!T15+PMH!T15+ÖNKORMÁNYZAT!T15</f>
        <v>3360043</v>
      </c>
      <c r="U15" s="55">
        <f>BÖLCSŐDE!U15+FALUHÁZ!T15+ÓVODA!U15+PMH!U15+ÖNKORMÁNYZAT!U15</f>
        <v>506001</v>
      </c>
      <c r="V15" s="55">
        <f>BÖLCSŐDE!V15+FALUHÁZ!U15+ÓVODA!V15+PMH!V15+ÖNKORMÁNYZAT!V15</f>
        <v>506001</v>
      </c>
      <c r="W15" s="55">
        <f>BÖLCSŐDE!W15+FALUHÁZ!V15+ÓVODA!W15+PMH!W15+ÖNKORMÁNYZAT!W15</f>
        <v>506001</v>
      </c>
      <c r="X15" s="122">
        <f t="shared" si="2"/>
        <v>664.03880624741851</v>
      </c>
      <c r="AA15" s="55">
        <f>BÖLCSŐDE!AA15+FALUHÁZ!Z15+ÓVODA!AA15+PMH!AA15+ÖNKORMÁNYZAT!AA15</f>
        <v>3360043</v>
      </c>
      <c r="AB15" s="55">
        <f>BÖLCSŐDE!AB15+FALUHÁZ!AA15+ÓVODA!AB15+PMH!AB15+ÖNKORMÁNYZAT!AB15</f>
        <v>526600</v>
      </c>
      <c r="AC15" s="55">
        <f>BÖLCSŐDE!AB15+FALUHÁZ!AA15+ÓVODA!AB15+PMH!AB15+ÖNKORMÁNYZAT!AB15</f>
        <v>526600</v>
      </c>
      <c r="AD15" s="55">
        <f>BÖLCSŐDE!AC15+FALUHÁZ!AB15+ÓVODA!AC15+PMH!AC15+ÖNKORMÁNYZAT!AC15</f>
        <v>1272600</v>
      </c>
      <c r="AE15" s="223">
        <f>BÖLCSŐDE!AE15+FALUHÁZ!AD15+ÓVODA!AE15+PMH!AE15+ÖNKORMÁNYZAT!AD15</f>
        <v>1843500</v>
      </c>
      <c r="AF15" s="122">
        <f t="shared" si="3"/>
        <v>37.874515296381624</v>
      </c>
      <c r="AG15" s="55">
        <f>BÖLCSŐDE!AG15+FALUHÁZ!AG15+ÓVODA!AG15+PMH!AG15+ÖNKORMÁNYZAT!AG15</f>
        <v>2459400</v>
      </c>
      <c r="AH15" s="55"/>
      <c r="AI15" s="55">
        <f>BÖLCSŐDE!AI15+FALUHÁZ!AJ15+ÓVODA!AI15+PMH!AI15+ÖNKORMÁNYZAT!AI15</f>
        <v>3010305.6</v>
      </c>
      <c r="AJ15" s="55"/>
      <c r="AK15" s="55">
        <f>BÖLCSŐDE!AL15+FALUHÁZ!AK15+ÓVODA!AK15+PMH!AK15+ÖNKORMÁNYZAT!AK15</f>
        <v>3010305.6</v>
      </c>
      <c r="AM15" s="55">
        <f>BÖLCSŐDE!AM15+FALUHÁZ!AM15+ÓVODA!AM15+PMH!AM15+ÖNKORMÁNYZAT!AM15</f>
        <v>3013842</v>
      </c>
      <c r="AN15" s="55">
        <f>BÖLCSŐDE!AN15+FALUHÁZ!AN15+ÓVODA!AP15+PMH!AN15+ÖNKORMÁNYZAT!AP15</f>
        <v>3010306</v>
      </c>
      <c r="AO15" s="55">
        <f>BÖLCSŐDE!AO15+FALUHÁZ!AO15+ÓVODA!AQ15+PMH!AO15+ÖNKORMÁNYZAT!AQ15</f>
        <v>450908</v>
      </c>
      <c r="AP15" s="55">
        <f>BÖLCSŐDE!AP15+FALUHÁZ!AP15+ÓVODA!AP15+PMH!AP15+ÖNKORMÁNYZAT!AP15</f>
        <v>3010306</v>
      </c>
      <c r="AQ15" s="55">
        <f>BÖLCSŐDE!AQ15+FALUHÁZ!AQ15+ÓVODA!AQ15+PMH!AQ15+ÖNKORMÁNYZAT!AQ15</f>
        <v>450908</v>
      </c>
      <c r="AR15" s="55">
        <f t="shared" si="4"/>
        <v>2559398</v>
      </c>
      <c r="AS15" s="54">
        <f t="shared" si="5"/>
        <v>14.978809463224005</v>
      </c>
      <c r="AT15" s="55">
        <f>BÖLCSŐDE!AT15+FALUHÁZ!AT15+ÓVODA!AT15+PMH!AT15+ÖNKORMÁNYZAT!AT15</f>
        <v>452108</v>
      </c>
      <c r="AU15" s="55">
        <f t="shared" si="6"/>
        <v>2558198</v>
      </c>
      <c r="AV15" s="54">
        <f t="shared" si="7"/>
        <v>84.981327479664856</v>
      </c>
      <c r="AW15" s="55">
        <f>BÖLCSŐDE!AW15+FALUHÁZ!AW15+ÓVODA!AW15+PMH!AW15+ÖNKORMÁNYZAT!AW15</f>
        <v>3010306</v>
      </c>
      <c r="AX15" s="55">
        <f>BÖLCSŐDE!AX15+FALUHÁZ!AX15+ÓVODA!AX15+PMH!AX15+ÖNKORMÁNYZAT!AX15</f>
        <v>3010306</v>
      </c>
      <c r="AY15" s="55">
        <f>BÖLCSŐDE!AY15+FALUHÁZ!AY15+ÓVODA!AY15+PMH!AY15+ÖNKORMÁNYZAT!AY15</f>
        <v>3010306</v>
      </c>
      <c r="AZ15" s="55">
        <f>BÖLCSŐDE!AZ15+FALUHÁZ!AZ15+ÓVODA!AZ15+PMH!AZ15+ÖNKORMÁNYZAT!AZ15</f>
        <v>3010306</v>
      </c>
      <c r="BA15" s="55">
        <f>BÖLCSŐDE!BA15+FALUHÁZ!BA15+ÓVODA!BA15+PMH!BA15+ÖNKORMÁNYZAT!BA15</f>
        <v>3010306</v>
      </c>
      <c r="BB15" s="501">
        <f>BÖLCSŐDE!BB15+FALUHÁZ!BB15+ÓVODA!BB15+PMH!BB15+ÖNKORMÁNYZAT!BB15</f>
        <v>3010306</v>
      </c>
      <c r="BC15" s="501">
        <f>BÖLCSŐDE!BC15+FALUHÁZ!BC15+ÓVODA!BC15+PMH!BC15+ÖNKORMÁNYZAT!BC15</f>
        <v>3010306</v>
      </c>
      <c r="BD15" s="501">
        <f>BÖLCSŐDE!BD15+FALUHÁZ!BD15+ÓVODA!BD15+PMH!BD15+ÖNKORMÁNYZAT!BD15</f>
        <v>10500</v>
      </c>
      <c r="BE15" s="501">
        <f>BÖLCSŐDE!BE15+FALUHÁZ!BE15+ÓVODA!BE15+PMH!BE15+ÖNKORMÁNYZAT!BE15</f>
        <v>774600</v>
      </c>
      <c r="BF15" s="501">
        <f>BÖLCSŐDE!BF15+FALUHÁZ!BF15+ÓVODA!BF15+PMH!BF15+ÖNKORMÁNYZAT!BF15</f>
        <v>1281300</v>
      </c>
      <c r="BG15" s="383">
        <f>BÖLCSŐDE!BG15+FALUHÁZ!BG15+ÓVODA!BG15+PMH!BG15+ÖNKORMÁNYZAT!BG15</f>
        <v>1537560</v>
      </c>
      <c r="BH15" s="65">
        <f>BÖLCSŐDE!BH15+FALUHÁZ!BH15+ÓVODA!BH15+PMH!BH15+ÖNKORMÁNYZAT!BH15</f>
        <v>1000000</v>
      </c>
      <c r="BI15" s="65">
        <f>BÖLCSŐDE!BI15+FALUHÁZ!BI15+ÓVODA!BI15+PMH!BI15+ÖNKORMÁNYZAT!BI15</f>
        <v>1000000</v>
      </c>
      <c r="BJ15" s="65">
        <f>BÖLCSŐDE!BJ15+FALUHÁZ!BJ15+ÓVODA!BJ15+PMH!BJ15+ÖNKORMÁNYZAT!BJ15</f>
        <v>1014100</v>
      </c>
      <c r="BK15" s="65">
        <f>BÖLCSŐDE!BK15+FALUHÁZ!BK15+ÓVODA!BK15+PMH!BK15+ÖNKORMÁNYZAT!BK15</f>
        <v>2863283</v>
      </c>
      <c r="BL15" s="65">
        <f>BÖLCSŐDE!BL15+FALUHÁZ!BL15+ÓVODA!BL15+PMH!BL15+ÖNKORMÁNYZAT!BL15</f>
        <v>3000000</v>
      </c>
      <c r="BM15" s="65">
        <f>BÖLCSŐDE!BM15+FALUHÁZ!BM15+ÓVODA!BM15+PMH!BM15+ÖNKORMÁNYZAT!BM15</f>
        <v>3514883</v>
      </c>
      <c r="BN15" s="65">
        <f>BÖLCSŐDE!BN15+FALUHÁZ!BN15+ÓVODA!BN15+PMH!BN15+ÖNKORMÁNYZAT!BN15</f>
        <v>3514883</v>
      </c>
      <c r="BO15" s="65">
        <f>BÖLCSŐDE!BO15+FALUHÁZ!BO15+ÓVODA!BO15+PMH!BO15+ÖNKORMÁNYZAT!BO15</f>
        <v>3742579</v>
      </c>
      <c r="BP15" s="65">
        <f>BÖLCSŐDE!BP15+FALUHÁZ!BP15+ÓVODA!BP15+PMH!BP15+ÖNKORMÁNYZAT!BP15</f>
        <v>4491094.8000000007</v>
      </c>
      <c r="BQ15" s="65">
        <f>BÖLCSŐDE!BQ15+FALUHÁZ!BQ15+ÓVODA!BQ15+PMH!BQ15+ÖNKORMÁNYZAT!BQ15</f>
        <v>4491094.8000000007</v>
      </c>
      <c r="BR15" s="65">
        <f>BÖLCSŐDE!BR15+FALUHÁZ!BR15+ÓVODA!BR15+PMH!BR15+ÖNKORMÁNYZAT!BR15</f>
        <v>4491095</v>
      </c>
      <c r="BS15" s="65">
        <f>BÖLCSŐDE!BS15+FALUHÁZ!BS15+ÓVODA!BS15+PMH!BS15+ÖNKORMÁNYZAT!BS15</f>
        <v>4491095</v>
      </c>
      <c r="BT15" s="65">
        <f>BÖLCSŐDE!BT15+FALUHÁZ!BT15+ÓVODA!BT15+PMH!BT15+ÖNKORMÁNYZAT!BT15</f>
        <v>4491095</v>
      </c>
      <c r="BU15" s="65">
        <f>BÖLCSŐDE!BU15+FALUHÁZ!BU15+ÓVODA!BU15+PMH!BU15+ÖNKORMÁNYZAT!BU15</f>
        <v>5000000</v>
      </c>
      <c r="BV15" s="65">
        <f>BÖLCSŐDE!BV15+FALUHÁZ!BV15+ÓVODA!BV15+PMH!BV15+ÖNKORMÁNYZAT!BV15</f>
        <v>4757248</v>
      </c>
    </row>
    <row r="16" spans="1:74" x14ac:dyDescent="0.25">
      <c r="A16" s="54" t="s">
        <v>18</v>
      </c>
      <c r="B16" s="55" t="s">
        <v>186</v>
      </c>
      <c r="C16" s="55">
        <f>BÖLCSŐDE!C16+FALUHÁZ!C16+ÓVODA!C16+PMH!C16+ÖNKORMÁNYZAT!C16</f>
        <v>4094222</v>
      </c>
      <c r="D16" s="55">
        <f>BÖLCSŐDE!D16+FALUHÁZ!D16+ÓVODA!D16+PMH!D16+ÖNKORMÁNYZAT!D16</f>
        <v>8073907</v>
      </c>
      <c r="E16" s="55">
        <f>BÖLCSŐDE!E16+FALUHÁZ!E16+ÓVODA!E16+PMH!E16+ÖNKORMÁNYZAT!E16</f>
        <v>5084224</v>
      </c>
      <c r="F16" s="55">
        <f>BÖLCSŐDE!F16+FALUHÁZ!F16+ÓVODA!F16+PMH!F16+ÖNKORMÁNYZAT!F16</f>
        <v>1711135</v>
      </c>
      <c r="G16" s="55">
        <f>BÖLCSŐDE!G16+FALUHÁZ!G16+ÓVODA!G16+PMH!G16+ÖNKORMÁNYZAT!G16</f>
        <v>5084224</v>
      </c>
      <c r="H16" s="55">
        <f>BÖLCSŐDE!H16+FALUHÁZ!H16+ÓVODA!H16+PMH!H16+ÖNKORMÁNYZAT!H16</f>
        <v>1995044</v>
      </c>
      <c r="I16" s="55">
        <f t="shared" si="0"/>
        <v>2176411.6363636362</v>
      </c>
      <c r="J16" s="55">
        <v>5084224</v>
      </c>
      <c r="K16" s="55">
        <v>5084224</v>
      </c>
      <c r="L16" s="55">
        <f>BÖLCSŐDE!L16+FALUHÁZ!L16+ÓVODA!L16+PMH!L16+ÖNKORMÁNYZAT!L16</f>
        <v>5084224</v>
      </c>
      <c r="M16" s="1">
        <f t="shared" si="1"/>
        <v>233.60580852686292</v>
      </c>
      <c r="O16" s="55">
        <f>BÖLCSŐDE!O16+FALUHÁZ!N16+ÓVODA!O16+PMH!O16+ÖNKORMÁNYZAT!O16</f>
        <v>5084224</v>
      </c>
      <c r="P16" s="55">
        <f>BÖLCSŐDE!P16+FALUHÁZ!O16+ÓVODA!P16+PMH!P16+ÖNKORMÁNYZAT!P16</f>
        <v>2232014</v>
      </c>
      <c r="Q16" s="55">
        <f>BÖLCSŐDE!Q16+FALUHÁZ!P16+ÓVODA!Q16+PMH!Q16+ÖNKORMÁNYZAT!Q16</f>
        <v>2252952</v>
      </c>
      <c r="R16" s="55">
        <f>BÖLCSŐDE!R16+FALUHÁZ!Q16+ÓVODA!R16+PMH!R16+ÖNKORMÁNYZAT!R16</f>
        <v>5084224</v>
      </c>
      <c r="S16" s="55">
        <f>BÖLCSŐDE!S16+FALUHÁZ!R16+ÓVODA!S16+PMH!S16+ÖNKORMÁNYZAT!S16</f>
        <v>5084224</v>
      </c>
      <c r="T16" s="55">
        <f>BÖLCSŐDE!T16+FALUHÁZ!S16+ÓVODA!T16+PMH!T16+ÖNKORMÁNYZAT!T16</f>
        <v>2524187</v>
      </c>
      <c r="U16" s="55">
        <f>BÖLCSŐDE!U16+FALUHÁZ!T16+ÓVODA!U16+PMH!U16+ÖNKORMÁNYZAT!U16</f>
        <v>5084224</v>
      </c>
      <c r="V16" s="55">
        <f>BÖLCSŐDE!V16+FALUHÁZ!U16+ÓVODA!V16+PMH!V16+ÖNKORMÁNYZAT!V16</f>
        <v>5084224</v>
      </c>
      <c r="W16" s="55">
        <f>BÖLCSŐDE!W16+FALUHÁZ!V16+ÓVODA!W16+PMH!W16+ÖNKORMÁNYZAT!W16</f>
        <v>5084224</v>
      </c>
      <c r="X16" s="122">
        <f t="shared" si="2"/>
        <v>49.647438822522375</v>
      </c>
      <c r="AA16" s="55">
        <f>BÖLCSŐDE!AA16+FALUHÁZ!Z16+ÓVODA!AA16+PMH!AA16+ÖNKORMÁNYZAT!AA16</f>
        <v>2524187</v>
      </c>
      <c r="AB16" s="55">
        <f>BÖLCSŐDE!AB16+FALUHÁZ!AA16+ÓVODA!AB16+PMH!AB16+ÖNKORMÁNYZAT!AB16</f>
        <v>1564960</v>
      </c>
      <c r="AC16" s="55">
        <f>BÖLCSŐDE!AB16+FALUHÁZ!AA16+ÓVODA!AB16+PMH!AB16+ÖNKORMÁNYZAT!AB16</f>
        <v>1564960</v>
      </c>
      <c r="AD16" s="55">
        <f>BÖLCSŐDE!AC16+FALUHÁZ!AB16+ÓVODA!AC16+PMH!AC16+ÖNKORMÁNYZAT!AC16</f>
        <v>2157751</v>
      </c>
      <c r="AE16" s="223">
        <f>BÖLCSŐDE!AE16+FALUHÁZ!AD16+ÓVODA!AE16+PMH!AE16+ÖNKORMÁNYZAT!AD16</f>
        <v>2830912</v>
      </c>
      <c r="AF16" s="122">
        <f t="shared" si="3"/>
        <v>85.483008984675067</v>
      </c>
      <c r="AG16" s="55">
        <f>BÖLCSŐDE!AG16+FALUHÁZ!AG16+ÓVODA!AG16+PMH!AG16+ÖNKORMÁNYZAT!AG16</f>
        <v>3918085</v>
      </c>
      <c r="AH16" s="55"/>
      <c r="AI16" s="55">
        <f>BÖLCSŐDE!AI16+FALUHÁZ!AJ16+ÓVODA!AI16+PMH!AI16+ÖNKORMÁNYZAT!AI16</f>
        <v>7795736.04</v>
      </c>
      <c r="AJ16" s="55"/>
      <c r="AK16" s="55">
        <f>BÖLCSŐDE!AL16+FALUHÁZ!AK16+ÓVODA!AK16+PMH!AK16+ÖNKORMÁNYZAT!AK16</f>
        <v>7795736.04</v>
      </c>
      <c r="AM16" s="55">
        <f>BÖLCSŐDE!AM16+FALUHÁZ!AM16+ÓVODA!AM16+PMH!AM16+ÖNKORMÁNYZAT!AM16</f>
        <v>7718076</v>
      </c>
      <c r="AN16" s="55">
        <f>BÖLCSŐDE!AN16+FALUHÁZ!AN16+ÓVODA!AP16+PMH!AN16+ÖNKORMÁNYZAT!AP16</f>
        <v>7795736</v>
      </c>
      <c r="AO16" s="55">
        <f>BÖLCSŐDE!AO16+FALUHÁZ!AO16+ÓVODA!AQ16+PMH!AO16+ÖNKORMÁNYZAT!AQ16</f>
        <v>6186312</v>
      </c>
      <c r="AP16" s="55">
        <f>BÖLCSŐDE!AP16+FALUHÁZ!AP16+ÓVODA!AP16+PMH!AP16+ÖNKORMÁNYZAT!AP16</f>
        <v>7795736</v>
      </c>
      <c r="AQ16" s="55">
        <f>BÖLCSŐDE!AQ16+FALUHÁZ!AQ16+ÓVODA!AQ16+PMH!AQ16+ÖNKORMÁNYZAT!AQ16</f>
        <v>6186312</v>
      </c>
      <c r="AR16" s="55">
        <f t="shared" si="4"/>
        <v>1609424</v>
      </c>
      <c r="AS16" s="54">
        <f t="shared" si="5"/>
        <v>79.355073080976581</v>
      </c>
      <c r="AT16" s="55">
        <f>BÖLCSŐDE!AT16+FALUHÁZ!AT16+ÓVODA!AT16+PMH!AT16+ÖNKORMÁNYZAT!AT16</f>
        <v>6826617</v>
      </c>
      <c r="AU16" s="55">
        <f t="shared" si="6"/>
        <v>969119</v>
      </c>
      <c r="AV16" s="54">
        <f t="shared" si="7"/>
        <v>12.431398395225287</v>
      </c>
      <c r="AW16" s="55">
        <f>BÖLCSŐDE!AW16+FALUHÁZ!AW16+ÓVODA!AW16+PMH!AW16+ÖNKORMÁNYZAT!AW16</f>
        <v>7795736</v>
      </c>
      <c r="AX16" s="55">
        <f>BÖLCSŐDE!AX16+FALUHÁZ!AX16+ÓVODA!AX16+PMH!AX16+ÖNKORMÁNYZAT!AX16</f>
        <v>7795736</v>
      </c>
      <c r="AY16" s="55">
        <f>BÖLCSŐDE!AY16+FALUHÁZ!AY16+ÓVODA!AY16+PMH!AY16+ÖNKORMÁNYZAT!AY16</f>
        <v>7795736</v>
      </c>
      <c r="AZ16" s="55">
        <f>BÖLCSŐDE!AZ16+FALUHÁZ!AZ16+ÓVODA!AZ16+PMH!AZ16+ÖNKORMÁNYZAT!AZ16</f>
        <v>7795736</v>
      </c>
      <c r="BA16" s="55">
        <f>BÖLCSŐDE!BA16+FALUHÁZ!BA16+ÓVODA!BA16+PMH!BA16+ÖNKORMÁNYZAT!BA16</f>
        <v>7795736</v>
      </c>
      <c r="BB16" s="501">
        <f>BÖLCSŐDE!BB16+FALUHÁZ!BB16+ÓVODA!BB16+PMH!BB16+ÖNKORMÁNYZAT!BB16</f>
        <v>7795736</v>
      </c>
      <c r="BC16" s="501">
        <f>BÖLCSŐDE!BC16+FALUHÁZ!BC16+ÓVODA!BC16+PMH!BC16+ÖNKORMÁNYZAT!BC16</f>
        <v>7795736</v>
      </c>
      <c r="BD16" s="501">
        <f>BÖLCSŐDE!BD16+FALUHÁZ!BD16+ÓVODA!BD16+PMH!BD16+ÖNKORMÁNYZAT!BD16</f>
        <v>7914094</v>
      </c>
      <c r="BE16" s="501">
        <f>BÖLCSŐDE!BE16+FALUHÁZ!BE16+ÓVODA!BE16+PMH!BE16+ÖNKORMÁNYZAT!BE16</f>
        <v>10752280</v>
      </c>
      <c r="BF16" s="501">
        <f>BÖLCSŐDE!BF16+FALUHÁZ!BF16+ÓVODA!BF16+PMH!BF16+ÖNKORMÁNYZAT!BF16</f>
        <v>12062112</v>
      </c>
      <c r="BG16" s="383">
        <f>BÖLCSŐDE!BG16+FALUHÁZ!BG16+ÓVODA!BG16+PMH!BG16+ÖNKORMÁNYZAT!BG16</f>
        <v>14474534.399999999</v>
      </c>
      <c r="BH16" s="65">
        <f>BÖLCSŐDE!BH16+FALUHÁZ!BH16+ÓVODA!BH16+PMH!BH16+ÖNKORMÁNYZAT!BH16</f>
        <v>19816337</v>
      </c>
      <c r="BI16" s="65">
        <f>BÖLCSŐDE!BI16+FALUHÁZ!BI16+ÓVODA!BI16+PMH!BI16+ÖNKORMÁNYZAT!BI16</f>
        <v>19816337</v>
      </c>
      <c r="BJ16" s="65">
        <f>BÖLCSŐDE!BJ16+FALUHÁZ!BJ16+ÓVODA!BJ16+PMH!BJ16+ÖNKORMÁNYZAT!BJ16</f>
        <v>10394430</v>
      </c>
      <c r="BK16" s="65">
        <f>BÖLCSŐDE!BK16+FALUHÁZ!BK16+ÓVODA!BK16+PMH!BK16+ÖNKORMÁNYZAT!BK16</f>
        <v>17959192</v>
      </c>
      <c r="BL16" s="65">
        <f>BÖLCSŐDE!BL16+FALUHÁZ!BL16+ÓVODA!BL16+PMH!BL16+ÖNKORMÁNYZAT!BL16</f>
        <v>19816337</v>
      </c>
      <c r="BM16" s="65">
        <f>BÖLCSŐDE!BM16+FALUHÁZ!BM16+ÓVODA!BM16+PMH!BM16+ÖNKORMÁNYZAT!BM16</f>
        <v>22265397</v>
      </c>
      <c r="BN16" s="65">
        <f>BÖLCSŐDE!BN16+FALUHÁZ!BN16+ÓVODA!BN16+PMH!BN16+ÖNKORMÁNYZAT!BN16</f>
        <v>22265397</v>
      </c>
      <c r="BO16" s="65">
        <f>BÖLCSŐDE!BO16+FALUHÁZ!BO16+ÓVODA!BO16+PMH!BO16+ÖNKORMÁNYZAT!BO16</f>
        <v>10634064</v>
      </c>
      <c r="BP16" s="65">
        <f>BÖLCSŐDE!BP16+FALUHÁZ!BP16+ÓVODA!BP16+PMH!BP16+ÖNKORMÁNYZAT!BP16</f>
        <v>12760876.799999999</v>
      </c>
      <c r="BQ16" s="65">
        <f>BÖLCSŐDE!BQ16+FALUHÁZ!BQ16+ÓVODA!BQ16+PMH!BQ16+ÖNKORMÁNYZAT!BQ16</f>
        <v>22265397</v>
      </c>
      <c r="BR16" s="65">
        <f>BÖLCSŐDE!BR16+FALUHÁZ!BR16+ÓVODA!BR16+PMH!BR16+ÖNKORMÁNYZAT!BR16</f>
        <v>22265397</v>
      </c>
      <c r="BS16" s="65">
        <f>BÖLCSŐDE!BS16+FALUHÁZ!BS16+ÓVODA!BS16+PMH!BS16+ÖNKORMÁNYZAT!BS16</f>
        <v>22265397</v>
      </c>
      <c r="BT16" s="65">
        <f>BÖLCSŐDE!BT16+FALUHÁZ!BT16+ÓVODA!BT16+PMH!BT16+ÖNKORMÁNYZAT!BT16</f>
        <v>22265397</v>
      </c>
      <c r="BU16" s="65">
        <f>BÖLCSŐDE!BU16+FALUHÁZ!BU16+ÓVODA!BU16+PMH!BU16+ÖNKORMÁNYZAT!BU16</f>
        <v>26000000</v>
      </c>
      <c r="BV16" s="65">
        <f>BÖLCSŐDE!BV16+FALUHÁZ!BV16+ÓVODA!BV16+PMH!BV16+ÖNKORMÁNYZAT!BV16</f>
        <v>20895681</v>
      </c>
    </row>
    <row r="17" spans="1:74" x14ac:dyDescent="0.25">
      <c r="A17" s="54" t="s">
        <v>19</v>
      </c>
      <c r="B17" s="55" t="s">
        <v>187</v>
      </c>
      <c r="C17" s="55">
        <f>BÖLCSŐDE!C17+FALUHÁZ!C17+ÓVODA!C17+PMH!C17+ÖNKORMÁNYZAT!C17</f>
        <v>0</v>
      </c>
      <c r="D17" s="55">
        <f>BÖLCSŐDE!D17+FALUHÁZ!D17+ÓVODA!D17+PMH!D17+ÖNKORMÁNYZAT!D17</f>
        <v>100689</v>
      </c>
      <c r="E17" s="55">
        <f>BÖLCSŐDE!E17+FALUHÁZ!E17+ÓVODA!E17+PMH!E17+ÖNKORMÁNYZAT!E17</f>
        <v>0</v>
      </c>
      <c r="F17" s="55">
        <f>BÖLCSŐDE!F17+FALUHÁZ!F17+ÓVODA!F17+PMH!F17+ÖNKORMÁNYZAT!F17</f>
        <v>4475</v>
      </c>
      <c r="G17" s="55">
        <f>BÖLCSŐDE!G17+FALUHÁZ!G17+ÓVODA!G17+PMH!G17+ÖNKORMÁNYZAT!G17</f>
        <v>0</v>
      </c>
      <c r="H17" s="55">
        <f>BÖLCSŐDE!H17+FALUHÁZ!H17+ÓVODA!H17+PMH!H17+ÖNKORMÁNYZAT!H17</f>
        <v>4475</v>
      </c>
      <c r="I17" s="55">
        <f t="shared" si="0"/>
        <v>4881.818181818182</v>
      </c>
      <c r="J17" s="55">
        <v>0</v>
      </c>
      <c r="K17" s="55">
        <v>0</v>
      </c>
      <c r="L17" s="55">
        <f>BÖLCSŐDE!L17+FALUHÁZ!L17+ÓVODA!L17+PMH!L17+ÖNKORMÁNYZAT!L17</f>
        <v>0</v>
      </c>
      <c r="M17" s="1">
        <f t="shared" si="1"/>
        <v>0</v>
      </c>
      <c r="O17" s="55">
        <f>BÖLCSŐDE!O17+FALUHÁZ!N17+ÓVODA!O17+PMH!O17+ÖNKORMÁNYZAT!O17</f>
        <v>0</v>
      </c>
      <c r="P17" s="55">
        <f>BÖLCSŐDE!P17+FALUHÁZ!O17+ÓVODA!P17+PMH!P17+ÖNKORMÁNYZAT!P17</f>
        <v>129090</v>
      </c>
      <c r="Q17" s="55">
        <f>BÖLCSŐDE!Q17+FALUHÁZ!P17+ÓVODA!Q17+PMH!Q17+ÖNKORMÁNYZAT!Q17</f>
        <v>146990</v>
      </c>
      <c r="R17" s="55">
        <f>BÖLCSŐDE!R17+FALUHÁZ!Q17+ÓVODA!R17+PMH!R17+ÖNKORMÁNYZAT!R17</f>
        <v>0</v>
      </c>
      <c r="S17" s="55">
        <f>BÖLCSŐDE!S17+FALUHÁZ!R17+ÓVODA!S17+PMH!S17+ÖNKORMÁNYZAT!S17</f>
        <v>0</v>
      </c>
      <c r="T17" s="55">
        <f>BÖLCSŐDE!T17+FALUHÁZ!S17+ÓVODA!T17+PMH!T17+ÖNKORMÁNYZAT!T17</f>
        <v>146990</v>
      </c>
      <c r="U17" s="55">
        <f>BÖLCSŐDE!U17+FALUHÁZ!T17+ÓVODA!U17+PMH!U17+ÖNKORMÁNYZAT!U17</f>
        <v>0</v>
      </c>
      <c r="V17" s="55">
        <f>BÖLCSŐDE!V17+FALUHÁZ!U17+ÓVODA!V17+PMH!V17+ÖNKORMÁNYZAT!V17</f>
        <v>0</v>
      </c>
      <c r="W17" s="55">
        <f>BÖLCSŐDE!W17+FALUHÁZ!V17+ÓVODA!W17+PMH!W17+ÖNKORMÁNYZAT!W17</f>
        <v>0</v>
      </c>
      <c r="X17" s="122"/>
      <c r="AA17" s="55">
        <f>BÖLCSŐDE!AA17+FALUHÁZ!Z17+ÓVODA!AA17+PMH!AA17+ÖNKORMÁNYZAT!AA17</f>
        <v>0</v>
      </c>
      <c r="AB17" s="55">
        <f>BÖLCSŐDE!AB17+FALUHÁZ!AA17+ÓVODA!AB17+PMH!AB17+ÖNKORMÁNYZAT!AB17</f>
        <v>0</v>
      </c>
      <c r="AC17" s="55">
        <f>BÖLCSŐDE!AB17+FALUHÁZ!AA17+ÓVODA!AB17+PMH!AB17+ÖNKORMÁNYZAT!AB17</f>
        <v>0</v>
      </c>
      <c r="AD17" s="55">
        <f>BÖLCSŐDE!AC17+FALUHÁZ!AB17+ÓVODA!AC17+PMH!AC17+ÖNKORMÁNYZAT!AC17</f>
        <v>0</v>
      </c>
      <c r="AE17" s="223">
        <f>BÖLCSŐDE!AE17+FALUHÁZ!AD17+ÓVODA!AE17+PMH!AE17+ÖNKORMÁNYZAT!AD17</f>
        <v>42995</v>
      </c>
      <c r="AF17" s="122"/>
      <c r="AG17" s="55">
        <f>BÖLCSŐDE!AG17+FALUHÁZ!AG17+ÓVODA!AG17+PMH!AG17+ÖNKORMÁNYZAT!AG17</f>
        <v>42995</v>
      </c>
      <c r="AH17" s="55"/>
      <c r="AI17" s="55">
        <f>BÖLCSŐDE!AI17+FALUHÁZ!AJ17+ÓVODA!AI17+PMH!AI17+ÖNKORMÁNYZAT!AI17</f>
        <v>52625.88</v>
      </c>
      <c r="AJ17" s="55"/>
      <c r="AK17" s="55">
        <f>BÖLCSŐDE!AL17+FALUHÁZ!AK17+ÓVODA!AK17+PMH!AK17+ÖNKORMÁNYZAT!AK17</f>
        <v>52625.88</v>
      </c>
      <c r="AM17" s="55">
        <f>BÖLCSŐDE!AM17+FALUHÁZ!AM17+ÓVODA!AM17+PMH!AM17+ÖNKORMÁNYZAT!AM17</f>
        <v>42995</v>
      </c>
      <c r="AN17" s="55">
        <f>BÖLCSŐDE!AN17+FALUHÁZ!AN17+ÓVODA!AP17+PMH!AN17+ÖNKORMÁNYZAT!AP17</f>
        <v>52626</v>
      </c>
      <c r="AO17" s="55">
        <f>BÖLCSŐDE!AO17+FALUHÁZ!AO17+ÓVODA!AQ17+PMH!AO17+ÖNKORMÁNYZAT!AQ17</f>
        <v>0</v>
      </c>
      <c r="AP17" s="55">
        <f>BÖLCSŐDE!AP17+FALUHÁZ!AP17+ÓVODA!AP17+PMH!AP17+ÖNKORMÁNYZAT!AP17</f>
        <v>52626</v>
      </c>
      <c r="AQ17" s="55">
        <f>BÖLCSŐDE!AQ17+FALUHÁZ!AQ17+ÓVODA!AQ17+PMH!AQ17+ÖNKORMÁNYZAT!AQ17</f>
        <v>0</v>
      </c>
      <c r="AR17" s="55">
        <f t="shared" si="4"/>
        <v>52626</v>
      </c>
      <c r="AS17" s="54">
        <f t="shared" si="5"/>
        <v>0</v>
      </c>
      <c r="AT17" s="55">
        <f>BÖLCSŐDE!AT17+FALUHÁZ!AT17+ÓVODA!AT17+PMH!AT17+ÖNKORMÁNYZAT!AT17</f>
        <v>0</v>
      </c>
      <c r="AU17" s="55">
        <f t="shared" si="6"/>
        <v>52626</v>
      </c>
      <c r="AV17" s="54">
        <f t="shared" si="7"/>
        <v>100</v>
      </c>
      <c r="AW17" s="55">
        <f>BÖLCSŐDE!AW17+FALUHÁZ!AW17+ÓVODA!AW17+PMH!AW17+ÖNKORMÁNYZAT!AW17</f>
        <v>52626</v>
      </c>
      <c r="AX17" s="55">
        <f>BÖLCSŐDE!AX17+FALUHÁZ!AX17+ÓVODA!AX17+PMH!AX17+ÖNKORMÁNYZAT!AX17</f>
        <v>0</v>
      </c>
      <c r="AY17" s="55">
        <f>BÖLCSŐDE!AY17+FALUHÁZ!AY17+ÓVODA!AY17+PMH!AY17+ÖNKORMÁNYZAT!AY17</f>
        <v>0</v>
      </c>
      <c r="AZ17" s="55">
        <f>BÖLCSŐDE!AZ17+FALUHÁZ!AZ17+ÓVODA!AZ17+PMH!AZ17+ÖNKORMÁNYZAT!AZ17</f>
        <v>0</v>
      </c>
      <c r="BA17" s="55">
        <f>BÖLCSŐDE!BA17+FALUHÁZ!BA17+ÓVODA!BA17+PMH!BA17+ÖNKORMÁNYZAT!BA17</f>
        <v>0</v>
      </c>
      <c r="BB17" s="501">
        <f>BÖLCSŐDE!BB17+FALUHÁZ!BB17+ÓVODA!BB17+PMH!BB17+ÖNKORMÁNYZAT!BB17</f>
        <v>0</v>
      </c>
      <c r="BC17" s="501">
        <f>BÖLCSŐDE!BC17+FALUHÁZ!BC17+ÓVODA!BC17+PMH!BC17+ÖNKORMÁNYZAT!BC17</f>
        <v>0</v>
      </c>
      <c r="BD17" s="501">
        <f>BÖLCSŐDE!BD17+FALUHÁZ!BD17+ÓVODA!BD17+PMH!BD17+ÖNKORMÁNYZAT!BD17</f>
        <v>0</v>
      </c>
      <c r="BE17" s="501">
        <f>BÖLCSŐDE!BE17+FALUHÁZ!BE17+ÓVODA!BE17+PMH!BE17+ÖNKORMÁNYZAT!BE17</f>
        <v>0</v>
      </c>
      <c r="BF17" s="501">
        <f>BÖLCSŐDE!BF17+FALUHÁZ!BF17+ÓVODA!BF17+PMH!BF17+ÖNKORMÁNYZAT!BF17</f>
        <v>0</v>
      </c>
      <c r="BG17" s="383">
        <f>BÖLCSŐDE!BG17+FALUHÁZ!BG17+ÓVODA!BG17+PMH!BG17+ÖNKORMÁNYZAT!BG17</f>
        <v>0</v>
      </c>
      <c r="BH17" s="65">
        <f>BÖLCSŐDE!BH17+FALUHÁZ!BH17+ÓVODA!BH17+PMH!BH17+ÖNKORMÁNYZAT!BH17</f>
        <v>0</v>
      </c>
      <c r="BI17" s="65">
        <f>BÖLCSŐDE!BI17+FALUHÁZ!BI17+ÓVODA!BI17+PMH!BI17+ÖNKORMÁNYZAT!BI17</f>
        <v>0</v>
      </c>
      <c r="BJ17" s="65">
        <f>BÖLCSŐDE!BJ17+FALUHÁZ!BJ17+ÓVODA!BJ17+PMH!BJ17+ÖNKORMÁNYZAT!BJ17</f>
        <v>1181102</v>
      </c>
      <c r="BK17" s="65">
        <f>BÖLCSŐDE!BK17+FALUHÁZ!BK17+ÓVODA!BK17+PMH!BK17+ÖNKORMÁNYZAT!BK17</f>
        <v>1181102</v>
      </c>
      <c r="BL17" s="65">
        <f>BÖLCSŐDE!BL17+FALUHÁZ!BL17+ÓVODA!BL17+PMH!BL17+ÖNKORMÁNYZAT!BL17</f>
        <v>0</v>
      </c>
      <c r="BM17" s="65">
        <f>BÖLCSŐDE!BM17+FALUHÁZ!BM17+ÓVODA!BM17+PMH!BM17+ÖNKORMÁNYZAT!BM17</f>
        <v>0</v>
      </c>
      <c r="BN17" s="65">
        <f>BÖLCSŐDE!BN17+FALUHÁZ!BN17+ÓVODA!BN17+PMH!BN17+ÖNKORMÁNYZAT!BN17</f>
        <v>0</v>
      </c>
      <c r="BO17" s="65">
        <f>BÖLCSŐDE!BO17+FALUHÁZ!BO17+ÓVODA!BO17+PMH!BO17+ÖNKORMÁNYZAT!BO17</f>
        <v>0</v>
      </c>
      <c r="BP17" s="65">
        <f>BÖLCSŐDE!BP17+FALUHÁZ!BP17+ÓVODA!BP17+PMH!BP17+ÖNKORMÁNYZAT!BP17</f>
        <v>0</v>
      </c>
      <c r="BQ17" s="65">
        <f>BÖLCSŐDE!BQ17+FALUHÁZ!BQ17+ÓVODA!BQ17+PMH!BQ17+ÖNKORMÁNYZAT!BQ17</f>
        <v>0</v>
      </c>
      <c r="BR17" s="65">
        <f>BÖLCSŐDE!BR17+FALUHÁZ!BR17+ÓVODA!BR17+PMH!BR17+ÖNKORMÁNYZAT!BR17</f>
        <v>0</v>
      </c>
      <c r="BS17" s="65">
        <f>BÖLCSŐDE!BS17+FALUHÁZ!BS17+ÓVODA!BS17+PMH!BS17+ÖNKORMÁNYZAT!BS17</f>
        <v>0</v>
      </c>
      <c r="BT17" s="65">
        <f>BÖLCSŐDE!BT17+FALUHÁZ!BT17+ÓVODA!BT17+PMH!BT17+ÖNKORMÁNYZAT!BT17</f>
        <v>0</v>
      </c>
      <c r="BU17" s="65">
        <f>BÖLCSŐDE!BU17+FALUHÁZ!BU17+ÓVODA!BU17+PMH!BU17+ÖNKORMÁNYZAT!BU17</f>
        <v>0</v>
      </c>
      <c r="BV17" s="65">
        <f>BÖLCSŐDE!BV17+FALUHÁZ!BV17+ÓVODA!BV17+PMH!BV17+ÖNKORMÁNYZAT!BV17</f>
        <v>0</v>
      </c>
    </row>
    <row r="18" spans="1:74" x14ac:dyDescent="0.25">
      <c r="A18" s="54" t="s">
        <v>20</v>
      </c>
      <c r="B18" s="55" t="s">
        <v>188</v>
      </c>
      <c r="C18" s="55">
        <f>BÖLCSŐDE!C18+FALUHÁZ!C18+ÓVODA!C18+PMH!C18+ÖNKORMÁNYZAT!C18</f>
        <v>23852729</v>
      </c>
      <c r="D18" s="55">
        <f>BÖLCSŐDE!D18+FALUHÁZ!D18+ÓVODA!D18+PMH!D18+ÖNKORMÁNYZAT!D18</f>
        <v>29838556</v>
      </c>
      <c r="E18" s="55">
        <f>BÖLCSŐDE!E18+FALUHÁZ!E18+ÓVODA!E18+PMH!E18+ÖNKORMÁNYZAT!E18</f>
        <v>28974953</v>
      </c>
      <c r="F18" s="55">
        <f>BÖLCSŐDE!F18+FALUHÁZ!F18+ÓVODA!F18+PMH!F18+ÖNKORMÁNYZAT!F18</f>
        <v>28611131</v>
      </c>
      <c r="G18" s="55">
        <f>BÖLCSŐDE!G18+FALUHÁZ!G18+ÓVODA!G18+PMH!G18+ÖNKORMÁNYZAT!G18</f>
        <v>44474953</v>
      </c>
      <c r="H18" s="55">
        <f>BÖLCSŐDE!H18+FALUHÁZ!H18+ÓVODA!H18+PMH!H18+ÖNKORMÁNYZAT!H18</f>
        <v>20072820</v>
      </c>
      <c r="I18" s="55">
        <f t="shared" si="0"/>
        <v>21897621.818181816</v>
      </c>
      <c r="J18" s="55">
        <v>30274953</v>
      </c>
      <c r="K18" s="55">
        <v>35626054</v>
      </c>
      <c r="L18" s="55">
        <f>BÖLCSŐDE!L18+FALUHÁZ!L18+ÓVODA!L18+PMH!L18+ÖNKORMÁNYZAT!L18</f>
        <v>35626054</v>
      </c>
      <c r="M18" s="1">
        <f t="shared" si="1"/>
        <v>162.69371302421217</v>
      </c>
      <c r="O18" s="55">
        <f>BÖLCSŐDE!O18+FALUHÁZ!N18+ÓVODA!O18+PMH!O18+ÖNKORMÁNYZAT!O18</f>
        <v>35626054</v>
      </c>
      <c r="P18" s="55">
        <f>BÖLCSŐDE!P18+FALUHÁZ!O18+ÓVODA!P18+PMH!P18+ÖNKORMÁNYZAT!P18</f>
        <v>22141112</v>
      </c>
      <c r="Q18" s="55">
        <f>BÖLCSŐDE!Q18+FALUHÁZ!P18+ÓVODA!Q18+PMH!Q18+ÖNKORMÁNYZAT!Q18</f>
        <v>24104184</v>
      </c>
      <c r="R18" s="55">
        <f>BÖLCSŐDE!R18+FALUHÁZ!Q18+ÓVODA!R18+PMH!R18+ÖNKORMÁNYZAT!R18</f>
        <v>31596668</v>
      </c>
      <c r="S18" s="55">
        <f>BÖLCSŐDE!S18+FALUHÁZ!R18+ÓVODA!S18+PMH!S18+ÖNKORMÁNYZAT!S18</f>
        <v>35626054</v>
      </c>
      <c r="T18" s="55">
        <f>BÖLCSŐDE!T18+FALUHÁZ!S18+ÓVODA!T18+PMH!T18+ÖNKORMÁNYZAT!T18</f>
        <v>30651721</v>
      </c>
      <c r="U18" s="55">
        <f>BÖLCSŐDE!U18+FALUHÁZ!T18+ÓVODA!U18+PMH!U18+ÖNKORMÁNYZAT!U18</f>
        <v>31696668</v>
      </c>
      <c r="V18" s="55">
        <f>BÖLCSŐDE!V18+FALUHÁZ!U18+ÓVODA!V18+PMH!V18+ÖNKORMÁNYZAT!V18</f>
        <v>31696668</v>
      </c>
      <c r="W18" s="55">
        <f>BÖLCSŐDE!W18+FALUHÁZ!V18+ÓVODA!W18+PMH!W18+ÖNKORMÁNYZAT!W18</f>
        <v>31366668</v>
      </c>
      <c r="X18" s="122">
        <f t="shared" si="2"/>
        <v>96.703290705508863</v>
      </c>
      <c r="AA18" s="55">
        <f>BÖLCSŐDE!AA18+FALUHÁZ!Z18+ÓVODA!AA18+PMH!AA18+ÖNKORMÁNYZAT!AA18</f>
        <v>33074157</v>
      </c>
      <c r="AB18" s="55">
        <f>BÖLCSŐDE!AB18+FALUHÁZ!AA18+ÓVODA!AB18+PMH!AB18+ÖNKORMÁNYZAT!AB18</f>
        <v>17389039</v>
      </c>
      <c r="AC18" s="55">
        <f>BÖLCSŐDE!AB18+FALUHÁZ!AA18+ÓVODA!AB18+PMH!AB18+ÖNKORMÁNYZAT!AB18</f>
        <v>17389039</v>
      </c>
      <c r="AD18" s="55">
        <f>BÖLCSŐDE!AC18+FALUHÁZ!AB18+ÓVODA!AC18+PMH!AC18+ÖNKORMÁNYZAT!AC18</f>
        <v>21014375</v>
      </c>
      <c r="AE18" s="223">
        <f>BÖLCSŐDE!AE18+FALUHÁZ!AD18+ÓVODA!AE18+PMH!AE18+ÖNKORMÁNYZAT!AD18</f>
        <v>9944128.9973727763</v>
      </c>
      <c r="AF18" s="122">
        <f t="shared" si="3"/>
        <v>63.537144726016749</v>
      </c>
      <c r="AG18" s="55">
        <f>BÖLCSŐDE!AG18+FALUHÁZ!AG18+ÓVODA!AG18+PMH!AG18+ÖNKORMÁNYZAT!AG18</f>
        <v>21562675</v>
      </c>
      <c r="AH18" s="55"/>
      <c r="AI18" s="55">
        <f>BÖLCSŐDE!AI18+FALUHÁZ!AJ18+ÓVODA!AI18+PMH!AI18+ÖNKORMÁNYZAT!AI18</f>
        <v>39610646.263999999</v>
      </c>
      <c r="AJ18" s="55"/>
      <c r="AK18" s="55">
        <f>BÖLCSŐDE!AL18+FALUHÁZ!AK18+ÓVODA!AK18+PMH!AK18+ÖNKORMÁNYZAT!AK18</f>
        <v>39610646.263999999</v>
      </c>
      <c r="AM18" s="55">
        <f>BÖLCSŐDE!AM18+FALUHÁZ!AM18+ÓVODA!AM18+PMH!AM18+ÖNKORMÁNYZAT!AM18</f>
        <v>33266731</v>
      </c>
      <c r="AN18" s="55">
        <f>BÖLCSŐDE!AN18+FALUHÁZ!AN18+ÓVODA!AP18+PMH!AN18+ÖNKORMÁNYZAT!AP18</f>
        <v>32410646</v>
      </c>
      <c r="AO18" s="55">
        <f>BÖLCSŐDE!AO18+FALUHÁZ!AO18+ÓVODA!AQ18+PMH!AO18+ÖNKORMÁNYZAT!AQ18</f>
        <v>17864365</v>
      </c>
      <c r="AP18" s="55">
        <f>BÖLCSŐDE!AP18+FALUHÁZ!AP18+ÓVODA!AP18+PMH!AP18+ÖNKORMÁNYZAT!AP18</f>
        <v>39610646</v>
      </c>
      <c r="AQ18" s="55">
        <f>BÖLCSŐDE!AQ18+FALUHÁZ!AQ18+ÓVODA!AQ18+PMH!AQ18+ÖNKORMÁNYZAT!AQ18</f>
        <v>19848732</v>
      </c>
      <c r="AR18" s="55">
        <f t="shared" si="4"/>
        <v>19761914</v>
      </c>
      <c r="AS18" s="54">
        <f t="shared" si="5"/>
        <v>50.10958922507853</v>
      </c>
      <c r="AT18" s="55">
        <f>BÖLCSŐDE!AT18+FALUHÁZ!AT18+ÓVODA!AT18+PMH!AT18+ÖNKORMÁNYZAT!AT18</f>
        <v>24898804</v>
      </c>
      <c r="AU18" s="55">
        <f t="shared" si="6"/>
        <v>14711842</v>
      </c>
      <c r="AV18" s="54">
        <f t="shared" si="7"/>
        <v>37.141131199930442</v>
      </c>
      <c r="AW18" s="55">
        <f>BÖLCSŐDE!AW18+FALUHÁZ!AW18+ÓVODA!AW18+PMH!AW18+ÖNKORMÁNYZAT!AW18</f>
        <v>39610646</v>
      </c>
      <c r="AX18" s="55">
        <f>BÖLCSŐDE!AX18+FALUHÁZ!AX18+ÓVODA!AX18+PMH!AX18+ÖNKORMÁNYZAT!AX18</f>
        <v>39610646</v>
      </c>
      <c r="AY18" s="55">
        <f>BÖLCSŐDE!AY18+FALUHÁZ!AY18+ÓVODA!AY18+PMH!AY18+ÖNKORMÁNYZAT!AY18</f>
        <v>39610646</v>
      </c>
      <c r="AZ18" s="55">
        <f>BÖLCSŐDE!AZ18+FALUHÁZ!AZ18+ÓVODA!AZ18+PMH!AZ18+ÖNKORMÁNYZAT!AZ18</f>
        <v>39610646</v>
      </c>
      <c r="BA18" s="55">
        <f>BÖLCSŐDE!BA18+FALUHÁZ!BA18+ÓVODA!BA18+PMH!BA18+ÖNKORMÁNYZAT!BA18</f>
        <v>39610646</v>
      </c>
      <c r="BB18" s="501">
        <f>BÖLCSŐDE!BB18+FALUHÁZ!BB18+ÓVODA!BB18+PMH!BB18+ÖNKORMÁNYZAT!BB18</f>
        <v>39610646</v>
      </c>
      <c r="BC18" s="501">
        <f>BÖLCSŐDE!BC18+FALUHÁZ!BC18+ÓVODA!BC18+PMH!BC18+ÖNKORMÁNYZAT!BC18</f>
        <v>39510646</v>
      </c>
      <c r="BD18" s="501">
        <f>BÖLCSŐDE!BD18+FALUHÁZ!BD18+ÓVODA!BD18+PMH!BD18+ÖNKORMÁNYZAT!BD18</f>
        <v>34136225</v>
      </c>
      <c r="BE18" s="501">
        <f>BÖLCSŐDE!BE18+FALUHÁZ!BE18+ÓVODA!BE18+PMH!BE18+ÖNKORMÁNYZAT!BE18</f>
        <v>20522728</v>
      </c>
      <c r="BF18" s="501">
        <f>BÖLCSŐDE!BF18+FALUHÁZ!BF18+ÓVODA!BF18+PMH!BF18+ÖNKORMÁNYZAT!BF18</f>
        <v>22733703</v>
      </c>
      <c r="BG18" s="383">
        <f>BÖLCSŐDE!BG18+FALUHÁZ!BG18+ÓVODA!BG18+PMH!BG18+ÖNKORMÁNYZAT!BG18</f>
        <v>27280443.599999998</v>
      </c>
      <c r="BH18" s="65">
        <f>BÖLCSŐDE!BH18+FALUHÁZ!BH18+ÓVODA!BH18+PMH!BH18+ÖNKORMÁNYZAT!BH18</f>
        <v>55695752.079999998</v>
      </c>
      <c r="BI18" s="65">
        <f>BÖLCSŐDE!BI18+FALUHÁZ!BI18+ÓVODA!BI18+PMH!BI18+ÖNKORMÁNYZAT!BI18</f>
        <v>40195752</v>
      </c>
      <c r="BJ18" s="65">
        <f>BÖLCSŐDE!BJ18+FALUHÁZ!BJ18+ÓVODA!BJ18+PMH!BJ18+ÖNKORMÁNYZAT!BJ18</f>
        <v>12241365</v>
      </c>
      <c r="BK18" s="65">
        <f>BÖLCSŐDE!BK18+FALUHÁZ!BK18+ÓVODA!BK18+PMH!BK18+ÖNKORMÁNYZAT!BK18</f>
        <v>22797803</v>
      </c>
      <c r="BL18" s="65">
        <f>BÖLCSŐDE!BL18+FALUHÁZ!BL18+ÓVODA!BL18+PMH!BL18+ÖNKORMÁNYZAT!BL18</f>
        <v>27357362.399999999</v>
      </c>
      <c r="BM18" s="65">
        <f>BÖLCSŐDE!BM18+FALUHÁZ!BM18+ÓVODA!BM18+PMH!BM18+ÖNKORMÁNYZAT!BM18</f>
        <v>28684641.600000001</v>
      </c>
      <c r="BN18" s="65">
        <f>BÖLCSŐDE!BN18+FALUHÁZ!BN18+ÓVODA!BN18+PMH!BN18+ÖNKORMÁNYZAT!BN18</f>
        <v>28684642</v>
      </c>
      <c r="BO18" s="65">
        <f>BÖLCSŐDE!BO18+FALUHÁZ!BO18+ÓVODA!BO18+PMH!BO18+ÖNKORMÁNYZAT!BO18</f>
        <v>28987328</v>
      </c>
      <c r="BP18" s="65">
        <f>BÖLCSŐDE!BP18+FALUHÁZ!BP18+ÓVODA!BP18+PMH!BP18+ÖNKORMÁNYZAT!BP18</f>
        <v>34784793.600000001</v>
      </c>
      <c r="BQ18" s="65">
        <f>BÖLCSŐDE!BQ18+FALUHÁZ!BQ18+ÓVODA!BQ18+PMH!BQ18+ÖNKORMÁNYZAT!BQ18</f>
        <v>34694449.400000006</v>
      </c>
      <c r="BR18" s="65">
        <f>BÖLCSŐDE!BR18+FALUHÁZ!BR18+ÓVODA!BR18+PMH!BR18+ÖNKORMÁNYZAT!BR18</f>
        <v>33461976</v>
      </c>
      <c r="BS18" s="65">
        <f>BÖLCSŐDE!BS18+FALUHÁZ!BS18+ÓVODA!BS18+PMH!BS18+ÖNKORMÁNYZAT!BS18</f>
        <v>33461976</v>
      </c>
      <c r="BT18" s="65">
        <f>BÖLCSŐDE!BT18+FALUHÁZ!BT18+ÓVODA!BT18+PMH!BT18+ÖNKORMÁNYZAT!BT18</f>
        <v>34461976</v>
      </c>
      <c r="BU18" s="65">
        <f>BÖLCSŐDE!BU18+FALUHÁZ!BU18+ÓVODA!BU18+PMH!BU18+ÖNKORMÁNYZAT!BU18</f>
        <v>83977997</v>
      </c>
      <c r="BV18" s="65">
        <f>BÖLCSŐDE!BV18+FALUHÁZ!BV18+ÓVODA!BV18+PMH!BV18+ÖNKORMÁNYZAT!BV18</f>
        <v>85977997</v>
      </c>
    </row>
    <row r="19" spans="1:74" x14ac:dyDescent="0.25">
      <c r="A19" s="54" t="s">
        <v>21</v>
      </c>
      <c r="B19" s="55" t="s">
        <v>189</v>
      </c>
      <c r="C19" s="55">
        <f>BÖLCSŐDE!C19+FALUHÁZ!C19+ÓVODA!C19+PMH!C19+ÖNKORMÁNYZAT!C19</f>
        <v>15529228</v>
      </c>
      <c r="D19" s="55">
        <f>BÖLCSŐDE!D19+FALUHÁZ!D19+ÓVODA!D19+PMH!D19+ÖNKORMÁNYZAT!D19</f>
        <v>444493</v>
      </c>
      <c r="E19" s="55">
        <f>BÖLCSŐDE!E19+FALUHÁZ!E19+ÓVODA!E19+PMH!E19+ÖNKORMÁNYZAT!E19</f>
        <v>15529228</v>
      </c>
      <c r="F19" s="55">
        <f>BÖLCSŐDE!F19+FALUHÁZ!F19+ÓVODA!F19+PMH!F19+ÖNKORMÁNYZAT!F19</f>
        <v>1900022</v>
      </c>
      <c r="G19" s="55">
        <f>BÖLCSŐDE!G19+FALUHÁZ!G19+ÓVODA!G19+PMH!G19+ÖNKORMÁNYZAT!G19</f>
        <v>529228</v>
      </c>
      <c r="H19" s="55">
        <f>BÖLCSŐDE!H19+FALUHÁZ!H19+ÓVODA!H19+PMH!H19+ÖNKORMÁNYZAT!H19</f>
        <v>272224</v>
      </c>
      <c r="I19" s="55">
        <f t="shared" si="0"/>
        <v>296971.63636363635</v>
      </c>
      <c r="J19" s="55">
        <v>15461558</v>
      </c>
      <c r="K19" s="55">
        <v>461558</v>
      </c>
      <c r="L19" s="65">
        <f>BÖLCSŐDE!L19+FALUHÁZ!L19+ÓVODA!L19+PMH!L19+ÖNKORMÁNYZAT!L19</f>
        <v>461558</v>
      </c>
      <c r="M19" s="1">
        <f t="shared" si="1"/>
        <v>155.42157683868189</v>
      </c>
      <c r="O19" s="55">
        <f>BÖLCSŐDE!O19+FALUHÁZ!N19+ÓVODA!O19+PMH!O19+ÖNKORMÁNYZAT!O19</f>
        <v>461558</v>
      </c>
      <c r="P19" s="55">
        <f>BÖLCSŐDE!P19+FALUHÁZ!O19+ÓVODA!P19+PMH!P19+ÖNKORMÁNYZAT!P19</f>
        <v>133858</v>
      </c>
      <c r="Q19" s="55">
        <f>BÖLCSŐDE!Q19+FALUHÁZ!P19+ÓVODA!Q19+PMH!Q19+ÖNKORMÁNYZAT!Q19</f>
        <v>133858</v>
      </c>
      <c r="R19" s="55">
        <f>BÖLCSŐDE!R19+FALUHÁZ!Q19+ÓVODA!R19+PMH!R19+ÖNKORMÁNYZAT!R19</f>
        <v>200000</v>
      </c>
      <c r="S19" s="55">
        <f>BÖLCSŐDE!S19+FALUHÁZ!R19+ÓVODA!S19+PMH!S19+ÖNKORMÁNYZAT!S19</f>
        <v>461558</v>
      </c>
      <c r="T19" s="55">
        <f>BÖLCSŐDE!T19+FALUHÁZ!S19+ÓVODA!T19+PMH!T19+ÖNKORMÁNYZAT!T19</f>
        <v>133858</v>
      </c>
      <c r="U19" s="55">
        <f>BÖLCSŐDE!U19+FALUHÁZ!T19+ÓVODA!U19+PMH!U19+ÖNKORMÁNYZAT!U19</f>
        <v>200000</v>
      </c>
      <c r="V19" s="55">
        <f>BÖLCSŐDE!V19+FALUHÁZ!U19+ÓVODA!V19+PMH!V19+ÖNKORMÁNYZAT!V19</f>
        <v>200000</v>
      </c>
      <c r="W19" s="55">
        <f>BÖLCSŐDE!W19+FALUHÁZ!V19+ÓVODA!W19+PMH!W19+ÖNKORMÁNYZAT!W19</f>
        <v>200000</v>
      </c>
      <c r="X19" s="122">
        <f t="shared" si="2"/>
        <v>66.929000000000002</v>
      </c>
      <c r="AA19" s="55">
        <f>BÖLCSŐDE!AA19+FALUHÁZ!Z19+ÓVODA!AA19+PMH!AA19+ÖNKORMÁNYZAT!AA19</f>
        <v>133858</v>
      </c>
      <c r="AB19" s="55">
        <f>BÖLCSŐDE!AB19+FALUHÁZ!AA19+ÓVODA!AB19+PMH!AB19+ÖNKORMÁNYZAT!AB19</f>
        <v>100925</v>
      </c>
      <c r="AC19" s="55">
        <f>BÖLCSŐDE!AB19+FALUHÁZ!AA19+ÓVODA!AB19+PMH!AB19+ÖNKORMÁNYZAT!AB19</f>
        <v>100925</v>
      </c>
      <c r="AD19" s="55">
        <f>BÖLCSŐDE!AC19+FALUHÁZ!AB19+ÓVODA!AC19+PMH!AC19+ÖNKORMÁNYZAT!AC19</f>
        <v>100925</v>
      </c>
      <c r="AE19" s="223">
        <f>BÖLCSŐDE!AE19+FALUHÁZ!AD19+ÓVODA!AE19+PMH!AE19+ÖNKORMÁNYZAT!AD19</f>
        <v>100925</v>
      </c>
      <c r="AF19" s="122">
        <f t="shared" si="3"/>
        <v>75.397062558830996</v>
      </c>
      <c r="AG19" s="55">
        <f>BÖLCSŐDE!AG19+FALUHÁZ!AG19+ÓVODA!AG19+PMH!AG19+ÖNKORMÁNYZAT!AG19</f>
        <v>100925</v>
      </c>
      <c r="AH19" s="55"/>
      <c r="AI19" s="55">
        <f>BÖLCSŐDE!AI19+FALUHÁZ!AJ19+ÓVODA!AI19+PMH!AI19+ÖNKORMÁNYZAT!AI19</f>
        <v>123532.2</v>
      </c>
      <c r="AJ19" s="55"/>
      <c r="AK19" s="55">
        <f>BÖLCSŐDE!AL19+FALUHÁZ!AK19+ÓVODA!AK19+PMH!AK19+ÖNKORMÁNYZAT!AK19</f>
        <v>123532.2</v>
      </c>
      <c r="AM19" s="55">
        <f>BÖLCSŐDE!AM19+FALUHÁZ!AM19+ÓVODA!AM19+PMH!AM19+ÖNKORMÁNYZAT!AM19</f>
        <v>100925</v>
      </c>
      <c r="AN19" s="55">
        <f>BÖLCSŐDE!AN19+FALUHÁZ!AN19+ÓVODA!AP19+PMH!AN19+ÖNKORMÁNYZAT!AP19</f>
        <v>123528</v>
      </c>
      <c r="AO19" s="55">
        <f>BÖLCSŐDE!AO19+FALUHÁZ!AO19+ÓVODA!AQ19+PMH!AO19+ÖNKORMÁNYZAT!AQ19</f>
        <v>0</v>
      </c>
      <c r="AP19" s="55">
        <f>BÖLCSŐDE!AP19+FALUHÁZ!AP19+ÓVODA!AP19+PMH!AP19+ÖNKORMÁNYZAT!AP19</f>
        <v>123528</v>
      </c>
      <c r="AQ19" s="55">
        <f>BÖLCSŐDE!AQ19+FALUHÁZ!AQ19+ÓVODA!AQ19+PMH!AQ19+ÖNKORMÁNYZAT!AQ19</f>
        <v>15748</v>
      </c>
      <c r="AR19" s="55">
        <f t="shared" si="4"/>
        <v>107780</v>
      </c>
      <c r="AS19" s="54">
        <f t="shared" si="5"/>
        <v>12.74852664982838</v>
      </c>
      <c r="AT19" s="55">
        <f>BÖLCSŐDE!AT19+FALUHÁZ!AT19+ÓVODA!AT19+PMH!AT19+ÖNKORMÁNYZAT!AT19</f>
        <v>15748</v>
      </c>
      <c r="AU19" s="55">
        <f t="shared" si="6"/>
        <v>107780</v>
      </c>
      <c r="AV19" s="54">
        <f t="shared" si="7"/>
        <v>87.251473350171622</v>
      </c>
      <c r="AW19" s="55">
        <f>BÖLCSŐDE!AW19+FALUHÁZ!AW19+ÓVODA!AW19+PMH!AW19+ÖNKORMÁNYZAT!AW19</f>
        <v>123528</v>
      </c>
      <c r="AX19" s="55">
        <f>BÖLCSŐDE!AX19+FALUHÁZ!AX19+ÓVODA!AX19+PMH!AX19+ÖNKORMÁNYZAT!AX19</f>
        <v>0</v>
      </c>
      <c r="AY19" s="55">
        <f>BÖLCSŐDE!AY19+FALUHÁZ!AY19+ÓVODA!AY19+PMH!AY19+ÖNKORMÁNYZAT!AY19</f>
        <v>0</v>
      </c>
      <c r="AZ19" s="55">
        <f>BÖLCSŐDE!AZ19+FALUHÁZ!AZ19+ÓVODA!AZ19+PMH!AZ19+ÖNKORMÁNYZAT!AZ19</f>
        <v>0</v>
      </c>
      <c r="BA19" s="55">
        <f>BÖLCSŐDE!BA19+FALUHÁZ!BA19+ÓVODA!BA19+PMH!BA19+ÖNKORMÁNYZAT!BA19</f>
        <v>0</v>
      </c>
      <c r="BB19" s="501">
        <f>BÖLCSŐDE!BB19+FALUHÁZ!BB19+ÓVODA!BB19+PMH!BB19+ÖNKORMÁNYZAT!BB19</f>
        <v>0</v>
      </c>
      <c r="BC19" s="501">
        <f>BÖLCSŐDE!BC19+FALUHÁZ!BC19+ÓVODA!BC19+PMH!BC19+ÖNKORMÁNYZAT!BC19</f>
        <v>0</v>
      </c>
      <c r="BD19" s="501">
        <f>BÖLCSŐDE!BD19+FALUHÁZ!BD19+ÓVODA!BD19+PMH!BD19+ÖNKORMÁNYZAT!BD19</f>
        <v>14704</v>
      </c>
      <c r="BE19" s="501">
        <f>BÖLCSŐDE!BE19+FALUHÁZ!BE19+ÓVODA!BE19+PMH!BE19+ÖNKORMÁNYZAT!BE19</f>
        <v>176404</v>
      </c>
      <c r="BF19" s="501">
        <f>BÖLCSŐDE!BF19+FALUHÁZ!BF19+ÓVODA!BF19+PMH!BF19+ÖNKORMÁNYZAT!BF19</f>
        <v>212717</v>
      </c>
      <c r="BG19" s="383">
        <f>BÖLCSŐDE!BG19+FALUHÁZ!BG19+ÓVODA!BG19+PMH!BG19+ÖNKORMÁNYZAT!BG19</f>
        <v>255260.40000000002</v>
      </c>
      <c r="BH19" s="65">
        <f>BÖLCSŐDE!BH19+FALUHÁZ!BH19+ÓVODA!BH19+PMH!BH19+ÖNKORMÁNYZAT!BH19</f>
        <v>200000</v>
      </c>
      <c r="BI19" s="65">
        <f>BÖLCSŐDE!BI19+FALUHÁZ!BI19+ÓVODA!BI19+PMH!BI19+ÖNKORMÁNYZAT!BI19</f>
        <v>200000</v>
      </c>
      <c r="BJ19" s="65">
        <f>BÖLCSŐDE!BJ19+FALUHÁZ!BJ19+ÓVODA!BJ19+PMH!BJ19+ÖNKORMÁNYZAT!BJ19</f>
        <v>272408</v>
      </c>
      <c r="BK19" s="65">
        <f>BÖLCSŐDE!BK19+FALUHÁZ!BK19+ÓVODA!BK19+PMH!BK19+ÖNKORMÁNYZAT!BK19</f>
        <v>527918</v>
      </c>
      <c r="BL19" s="65">
        <f>BÖLCSŐDE!BL19+FALUHÁZ!BL19+ÓVODA!BL19+PMH!BL19+ÖNKORMÁNYZAT!BL19</f>
        <v>633501.60000000009</v>
      </c>
      <c r="BM19" s="65">
        <f>BÖLCSŐDE!BM19+FALUHÁZ!BM19+ÓVODA!BM19+PMH!BM19+ÖNKORMÁNYZAT!BM19</f>
        <v>650000</v>
      </c>
      <c r="BN19" s="65">
        <f>BÖLCSŐDE!BN19+FALUHÁZ!BN19+ÓVODA!BN19+PMH!BN19+ÖNKORMÁNYZAT!BN19</f>
        <v>650000</v>
      </c>
      <c r="BO19" s="65">
        <f>BÖLCSŐDE!BO19+FALUHÁZ!BO19+ÓVODA!BO19+PMH!BO19+ÖNKORMÁNYZAT!BO19</f>
        <v>27300</v>
      </c>
      <c r="BP19" s="65">
        <f>BÖLCSŐDE!BP19+FALUHÁZ!BP19+ÓVODA!BP19+PMH!BP19+ÖNKORMÁNYZAT!BP19</f>
        <v>32760</v>
      </c>
      <c r="BQ19" s="65">
        <f>BÖLCSŐDE!BQ19+FALUHÁZ!BQ19+ÓVODA!BQ19+PMH!BQ19+ÖNKORMÁNYZAT!BQ19</f>
        <v>32760</v>
      </c>
      <c r="BR19" s="65">
        <f>BÖLCSŐDE!BR19+FALUHÁZ!BR19+ÓVODA!BR19+PMH!BR19+ÖNKORMÁNYZAT!BR19</f>
        <v>0</v>
      </c>
      <c r="BS19" s="65">
        <f>BÖLCSŐDE!BS19+FALUHÁZ!BS19+ÓVODA!BS19+PMH!BS19+ÖNKORMÁNYZAT!BS19</f>
        <v>0</v>
      </c>
      <c r="BT19" s="65">
        <f>BÖLCSŐDE!BT19+FALUHÁZ!BT19+ÓVODA!BT19+PMH!BT19+ÖNKORMÁNYZAT!BT19</f>
        <v>0</v>
      </c>
      <c r="BU19" s="65">
        <f>BÖLCSŐDE!BU19+FALUHÁZ!BU19+ÓVODA!BU19+PMH!BU19+ÖNKORMÁNYZAT!BU19</f>
        <v>0</v>
      </c>
      <c r="BV19" s="65">
        <f>BÖLCSŐDE!BV19+FALUHÁZ!BV19+ÓVODA!BV19+PMH!BV19+ÖNKORMÁNYZAT!BV19</f>
        <v>0</v>
      </c>
    </row>
    <row r="20" spans="1:74" x14ac:dyDescent="0.25">
      <c r="A20" s="54" t="s">
        <v>22</v>
      </c>
      <c r="B20" s="58" t="s">
        <v>194</v>
      </c>
      <c r="C20" s="55">
        <f>BÖLCSŐDE!C20+FALUHÁZ!C20+ÓVODA!C20+PMH!C20+ÖNKORMÁNYZAT!C20</f>
        <v>0</v>
      </c>
      <c r="D20" s="55">
        <f>BÖLCSŐDE!D20+FALUHÁZ!D20+ÓVODA!D20+PMH!D20+ÖNKORMÁNYZAT!D20</f>
        <v>0</v>
      </c>
      <c r="E20" s="55">
        <f>BÖLCSŐDE!E20+FALUHÁZ!E20+ÓVODA!E20+PMH!E20+ÖNKORMÁNYZAT!E20</f>
        <v>0</v>
      </c>
      <c r="F20" s="55">
        <f>BÖLCSŐDE!F20+FALUHÁZ!F20+ÓVODA!F20+PMH!F20+ÖNKORMÁNYZAT!F20</f>
        <v>0</v>
      </c>
      <c r="G20" s="55">
        <f>BÖLCSŐDE!G20+FALUHÁZ!G20+ÓVODA!G20+PMH!G20+ÖNKORMÁNYZAT!G20</f>
        <v>0</v>
      </c>
      <c r="H20" s="55">
        <f>BÖLCSŐDE!H20+FALUHÁZ!H20+ÓVODA!H20+PMH!H20+ÖNKORMÁNYZAT!H20</f>
        <v>0</v>
      </c>
      <c r="I20" s="55">
        <f t="shared" si="0"/>
        <v>0</v>
      </c>
      <c r="J20" s="55">
        <v>0</v>
      </c>
      <c r="K20" s="55">
        <v>0</v>
      </c>
      <c r="L20" s="55">
        <f>BÖLCSŐDE!L20+FALUHÁZ!L20+ÓVODA!L20+PMH!L20+ÖNKORMÁNYZAT!L20</f>
        <v>0</v>
      </c>
      <c r="M20" s="1">
        <f t="shared" si="1"/>
        <v>0</v>
      </c>
      <c r="O20" s="55">
        <f>BÖLCSŐDE!O20+FALUHÁZ!N20+ÓVODA!O20+PMH!O20+ÖNKORMÁNYZAT!O20</f>
        <v>0</v>
      </c>
      <c r="P20" s="55">
        <f>BÖLCSŐDE!P20+FALUHÁZ!O20+ÓVODA!P20+PMH!P20+ÖNKORMÁNYZAT!P20</f>
        <v>0</v>
      </c>
      <c r="Q20" s="55">
        <f>BÖLCSŐDE!Q20+FALUHÁZ!P20+ÓVODA!Q20+PMH!Q20+ÖNKORMÁNYZAT!Q20</f>
        <v>0</v>
      </c>
      <c r="R20" s="55">
        <f>BÖLCSŐDE!R20+FALUHÁZ!Q20+ÓVODA!R20+PMH!R20+ÖNKORMÁNYZAT!R20</f>
        <v>0</v>
      </c>
      <c r="S20" s="55">
        <f>BÖLCSŐDE!S20+FALUHÁZ!R20+ÓVODA!S20+PMH!S20+ÖNKORMÁNYZAT!S20</f>
        <v>0</v>
      </c>
      <c r="T20" s="55">
        <f>BÖLCSŐDE!T20+FALUHÁZ!S20+ÓVODA!T20+PMH!T20+ÖNKORMÁNYZAT!T20</f>
        <v>0</v>
      </c>
      <c r="U20" s="55">
        <f>BÖLCSŐDE!U20+FALUHÁZ!T20+ÓVODA!U20+PMH!U20+ÖNKORMÁNYZAT!U20</f>
        <v>0</v>
      </c>
      <c r="V20" s="55">
        <f>BÖLCSŐDE!V20+FALUHÁZ!U20+ÓVODA!V20+PMH!V20+ÖNKORMÁNYZAT!V20</f>
        <v>0</v>
      </c>
      <c r="W20" s="55">
        <f>BÖLCSŐDE!W20+FALUHÁZ!V20+ÓVODA!W20+PMH!W20+ÖNKORMÁNYZAT!W20</f>
        <v>0</v>
      </c>
      <c r="X20" s="122"/>
      <c r="AA20" s="55">
        <f>BÖLCSŐDE!AA20+FALUHÁZ!Z20+ÓVODA!AA20+PMH!AA20+ÖNKORMÁNYZAT!AA20</f>
        <v>0</v>
      </c>
      <c r="AB20" s="55">
        <f>BÖLCSŐDE!AB20+FALUHÁZ!AA20+ÓVODA!AB20+PMH!AB20+ÖNKORMÁNYZAT!AB20</f>
        <v>0</v>
      </c>
      <c r="AC20" s="55">
        <f>BÖLCSŐDE!AB20+FALUHÁZ!AA20+ÓVODA!AB20+PMH!AB20+ÖNKORMÁNYZAT!AB20</f>
        <v>0</v>
      </c>
      <c r="AD20" s="55">
        <f>BÖLCSŐDE!AC20+FALUHÁZ!AB20+ÓVODA!AC20+PMH!AC20+ÖNKORMÁNYZAT!AC20</f>
        <v>0</v>
      </c>
      <c r="AE20" s="223">
        <f>BÖLCSŐDE!AE20+FALUHÁZ!AD20+ÓVODA!AE20+PMH!AE20+ÖNKORMÁNYZAT!AD20</f>
        <v>0</v>
      </c>
      <c r="AF20" s="122"/>
      <c r="AG20" s="55">
        <f>BÖLCSŐDE!AG20+FALUHÁZ!AG20+ÓVODA!AG20+PMH!AG20+ÖNKORMÁNYZAT!AG20</f>
        <v>0</v>
      </c>
      <c r="AH20" s="55"/>
      <c r="AI20" s="55">
        <f>BÖLCSŐDE!AI20+FALUHÁZ!AJ20+ÓVODA!AI20+PMH!AI20+ÖNKORMÁNYZAT!AI20</f>
        <v>0</v>
      </c>
      <c r="AJ20" s="55"/>
      <c r="AK20" s="55">
        <f>BÖLCSŐDE!AL20+FALUHÁZ!AK20+ÓVODA!AK20+PMH!AK20+ÖNKORMÁNYZAT!AK20</f>
        <v>0</v>
      </c>
      <c r="AM20" s="55">
        <f>BÖLCSŐDE!AM20+FALUHÁZ!AM20+ÓVODA!AM20+PMH!AM20+ÖNKORMÁNYZAT!AM20</f>
        <v>0</v>
      </c>
      <c r="AN20" s="55">
        <f>BÖLCSŐDE!AN20+FALUHÁZ!AN20+ÓVODA!AP20+PMH!AN20+ÖNKORMÁNYZAT!AP20</f>
        <v>0</v>
      </c>
      <c r="AO20" s="55">
        <f>BÖLCSŐDE!AO20+FALUHÁZ!AO20+ÓVODA!AQ20+PMH!AO20+ÖNKORMÁNYZAT!AQ20</f>
        <v>0</v>
      </c>
      <c r="AP20" s="55">
        <f>BÖLCSŐDE!AP20+FALUHÁZ!AP20+ÓVODA!AP20+PMH!AP20+ÖNKORMÁNYZAT!AP20</f>
        <v>0</v>
      </c>
      <c r="AQ20" s="55">
        <f>BÖLCSŐDE!AQ20+FALUHÁZ!AQ20+ÓVODA!AQ20+PMH!AQ20+ÖNKORMÁNYZAT!AQ20</f>
        <v>0</v>
      </c>
      <c r="AR20" s="55">
        <f t="shared" si="4"/>
        <v>0</v>
      </c>
      <c r="AS20" s="54"/>
      <c r="AT20" s="55">
        <f>BÖLCSŐDE!AT20+FALUHÁZ!AT20+ÓVODA!AT20+PMH!AT20+ÖNKORMÁNYZAT!AT20</f>
        <v>0</v>
      </c>
      <c r="AU20" s="55"/>
      <c r="AV20" s="54"/>
      <c r="AW20" s="55">
        <f>BÖLCSŐDE!AW20+FALUHÁZ!AW20+ÓVODA!AW20+PMH!AW20+ÖNKORMÁNYZAT!AW20</f>
        <v>0</v>
      </c>
      <c r="AX20" s="55">
        <f>BÖLCSŐDE!AX20+FALUHÁZ!AX20+ÓVODA!AX20+PMH!AX20+ÖNKORMÁNYZAT!AX20</f>
        <v>0</v>
      </c>
      <c r="AY20" s="55">
        <f>BÖLCSŐDE!AY20+FALUHÁZ!AY20+ÓVODA!AY20+PMH!AY20+ÖNKORMÁNYZAT!AY20</f>
        <v>0</v>
      </c>
      <c r="AZ20" s="55">
        <f>BÖLCSŐDE!AZ20+FALUHÁZ!AZ20+ÓVODA!AZ20+PMH!AZ20+ÖNKORMÁNYZAT!AZ20</f>
        <v>0</v>
      </c>
      <c r="BA20" s="55">
        <f>BÖLCSŐDE!BA20+FALUHÁZ!BA20+ÓVODA!BA20+PMH!BA20+ÖNKORMÁNYZAT!BA20</f>
        <v>0</v>
      </c>
      <c r="BB20" s="501">
        <f>BÖLCSŐDE!BB20+FALUHÁZ!BB20+ÓVODA!BB20+PMH!BB20+ÖNKORMÁNYZAT!BB20</f>
        <v>0</v>
      </c>
      <c r="BC20" s="501">
        <f>BÖLCSŐDE!BC20+FALUHÁZ!BC20+ÓVODA!BC20+PMH!BC20+ÖNKORMÁNYZAT!BC20</f>
        <v>0</v>
      </c>
      <c r="BD20" s="501">
        <f>BÖLCSŐDE!BD20+FALUHÁZ!BD20+ÓVODA!BD20+PMH!BD20+ÖNKORMÁNYZAT!BD20</f>
        <v>0</v>
      </c>
      <c r="BE20" s="501">
        <f>BÖLCSŐDE!BE20+FALUHÁZ!BE20+ÓVODA!BE20+PMH!BE20+ÖNKORMÁNYZAT!BE20</f>
        <v>0</v>
      </c>
      <c r="BF20" s="501">
        <f>BÖLCSŐDE!BF20+FALUHÁZ!BF20+ÓVODA!BF20+PMH!BF20+ÖNKORMÁNYZAT!BF20</f>
        <v>0</v>
      </c>
      <c r="BG20" s="383">
        <f>BÖLCSŐDE!BG20+FALUHÁZ!BG20+ÓVODA!BG20+PMH!BG20+ÖNKORMÁNYZAT!BG20</f>
        <v>0</v>
      </c>
      <c r="BH20" s="65">
        <f>BÖLCSŐDE!BH20+FALUHÁZ!BH20+ÓVODA!BH20+PMH!BH20+ÖNKORMÁNYZAT!BH20</f>
        <v>0</v>
      </c>
      <c r="BI20" s="65">
        <f>BÖLCSŐDE!BI20+FALUHÁZ!BI20+ÓVODA!BI20+PMH!BI20+ÖNKORMÁNYZAT!BI20</f>
        <v>0</v>
      </c>
      <c r="BJ20" s="65">
        <f>BÖLCSŐDE!BJ20+FALUHÁZ!BJ20+ÓVODA!BJ20+PMH!BJ20+ÖNKORMÁNYZAT!BJ20</f>
        <v>0</v>
      </c>
      <c r="BK20" s="65">
        <f>BÖLCSŐDE!BK20+FALUHÁZ!BK20+ÓVODA!BK20+PMH!BK20+ÖNKORMÁNYZAT!BK20</f>
        <v>0</v>
      </c>
      <c r="BL20" s="65">
        <f>BÖLCSŐDE!BL20+FALUHÁZ!BL20+ÓVODA!BL20+PMH!BL20+ÖNKORMÁNYZAT!BL20</f>
        <v>0</v>
      </c>
      <c r="BM20" s="65">
        <f>BÖLCSŐDE!BM20+FALUHÁZ!BM20+ÓVODA!BM20+PMH!BM20+ÖNKORMÁNYZAT!BM20</f>
        <v>0</v>
      </c>
      <c r="BN20" s="65">
        <f>BÖLCSŐDE!BN20+FALUHÁZ!BN20+ÓVODA!BN20+PMH!BN20+ÖNKORMÁNYZAT!BN20</f>
        <v>0</v>
      </c>
      <c r="BO20" s="65">
        <f>BÖLCSŐDE!BO20+FALUHÁZ!BO20+ÓVODA!BO20+PMH!BO20+ÖNKORMÁNYZAT!BO20</f>
        <v>0</v>
      </c>
      <c r="BP20" s="65">
        <f>BÖLCSŐDE!BP20+FALUHÁZ!BP20+ÓVODA!BP20+PMH!BP20+ÖNKORMÁNYZAT!BP20</f>
        <v>0</v>
      </c>
      <c r="BQ20" s="65">
        <f>BÖLCSŐDE!BQ20+FALUHÁZ!BQ20+ÓVODA!BQ20+PMH!BQ20+ÖNKORMÁNYZAT!BQ20</f>
        <v>0</v>
      </c>
      <c r="BR20" s="65">
        <f>BÖLCSŐDE!BR20+FALUHÁZ!BR20+ÓVODA!BR20+PMH!BR20+ÖNKORMÁNYZAT!BR20</f>
        <v>0</v>
      </c>
      <c r="BS20" s="65">
        <f>BÖLCSŐDE!BS20+FALUHÁZ!BS20+ÓVODA!BS20+PMH!BS20+ÖNKORMÁNYZAT!BS20</f>
        <v>0</v>
      </c>
      <c r="BT20" s="65">
        <f>BÖLCSŐDE!BT20+FALUHÁZ!BT20+ÓVODA!BT20+PMH!BT20+ÖNKORMÁNYZAT!BT20</f>
        <v>3000000</v>
      </c>
      <c r="BU20" s="65">
        <f>BÖLCSŐDE!BU20+FALUHÁZ!BU20+ÓVODA!BU20+PMH!BU20+ÖNKORMÁNYZAT!BU20</f>
        <v>0</v>
      </c>
      <c r="BV20" s="65">
        <f>BÖLCSŐDE!BV20+FALUHÁZ!BV20+ÓVODA!BV20+PMH!BV20+ÖNKORMÁNYZAT!BV20</f>
        <v>0</v>
      </c>
    </row>
    <row r="21" spans="1:74" x14ac:dyDescent="0.25">
      <c r="A21" s="54" t="s">
        <v>245</v>
      </c>
      <c r="B21" s="58" t="s">
        <v>246</v>
      </c>
      <c r="C21" s="55"/>
      <c r="D21" s="55"/>
      <c r="E21" s="55"/>
      <c r="F21" s="55"/>
      <c r="G21" s="55">
        <f>BÖLCSŐDE!G21+FALUHÁZ!G21+ÓVODA!G21+PMH!G21+ÖNKORMÁNYZAT!G21</f>
        <v>0</v>
      </c>
      <c r="H21" s="55">
        <f>BÖLCSŐDE!H21+FALUHÁZ!H21+ÓVODA!H21+PMH!H21+ÖNKORMÁNYZAT!H21</f>
        <v>13353124</v>
      </c>
      <c r="I21" s="55">
        <f t="shared" si="0"/>
        <v>14567044.363636363</v>
      </c>
      <c r="J21" s="55">
        <v>0</v>
      </c>
      <c r="K21" s="55">
        <v>0</v>
      </c>
      <c r="L21" s="55">
        <f>BÖLCSŐDE!L21+FALUHÁZ!L21+ÓVODA!L21+PMH!L21+ÖNKORMÁNYZAT!L21</f>
        <v>0</v>
      </c>
      <c r="M21" s="1">
        <f t="shared" si="1"/>
        <v>0</v>
      </c>
      <c r="O21" s="55">
        <f>BÖLCSŐDE!O21+FALUHÁZ!N21+ÓVODA!O21+PMH!O21+ÖNKORMÁNYZAT!O21</f>
        <v>0</v>
      </c>
      <c r="P21" s="55">
        <f>BÖLCSŐDE!P21+FALUHÁZ!O21+ÓVODA!P21+PMH!P21+ÖNKORMÁNYZAT!P21</f>
        <v>2289806</v>
      </c>
      <c r="Q21" s="55">
        <f>BÖLCSŐDE!Q21+FALUHÁZ!P21+ÓVODA!Q21+PMH!Q21+ÖNKORMÁNYZAT!Q21</f>
        <v>2351877</v>
      </c>
      <c r="R21" s="55">
        <f>BÖLCSŐDE!R21+FALUHÁZ!Q21+ÓVODA!R21+PMH!R21+ÖNKORMÁNYZAT!R21</f>
        <v>0</v>
      </c>
      <c r="S21" s="55">
        <f>BÖLCSŐDE!S21+FALUHÁZ!R21+ÓVODA!S21+PMH!S21+ÖNKORMÁNYZAT!S21</f>
        <v>0</v>
      </c>
      <c r="T21" s="55">
        <f>BÖLCSŐDE!T21+FALUHÁZ!S21+ÓVODA!T21+PMH!T21+ÖNKORMÁNYZAT!T21</f>
        <v>1314241</v>
      </c>
      <c r="U21" s="55">
        <f>BÖLCSŐDE!U21+FALUHÁZ!T21+ÓVODA!U21+PMH!U21+ÖNKORMÁNYZAT!U21</f>
        <v>0</v>
      </c>
      <c r="V21" s="55">
        <f>BÖLCSŐDE!V21+FALUHÁZ!U21+ÓVODA!V21+PMH!V21+ÖNKORMÁNYZAT!V21</f>
        <v>0</v>
      </c>
      <c r="W21" s="55">
        <f>BÖLCSŐDE!W21+FALUHÁZ!V21+ÓVODA!W21+PMH!W21+ÖNKORMÁNYZAT!W21</f>
        <v>0</v>
      </c>
      <c r="X21" s="122"/>
      <c r="AA21" s="55">
        <f>BÖLCSŐDE!AA21+FALUHÁZ!Z21+ÓVODA!AA21+PMH!AA21+ÖNKORMÁNYZAT!AA21</f>
        <v>0</v>
      </c>
      <c r="AB21" s="55">
        <f>BÖLCSŐDE!AB21+FALUHÁZ!AA21+ÓVODA!AB21+PMH!AB21+ÖNKORMÁNYZAT!AB21</f>
        <v>780750</v>
      </c>
      <c r="AC21" s="55">
        <f>BÖLCSŐDE!AB21+FALUHÁZ!AA21+ÓVODA!AB21+PMH!AB21+ÖNKORMÁNYZAT!AB21</f>
        <v>780750</v>
      </c>
      <c r="AD21" s="55">
        <f>BÖLCSŐDE!AC21+FALUHÁZ!AB21+ÓVODA!AC21+PMH!AC21+ÖNKORMÁNYZAT!AC21</f>
        <v>954865</v>
      </c>
      <c r="AE21" s="223">
        <f>BÖLCSŐDE!AE21+FALUHÁZ!AD21+ÓVODA!AE21+PMH!AE21+ÖNKORMÁNYZAT!AD21</f>
        <v>0</v>
      </c>
      <c r="AF21" s="122"/>
      <c r="AG21" s="55">
        <f>BÖLCSŐDE!AG21+FALUHÁZ!AG21+ÓVODA!AG21+PMH!AG21+ÖNKORMÁNYZAT!AG21</f>
        <v>1324885</v>
      </c>
      <c r="AH21" s="55"/>
      <c r="AI21" s="55">
        <f>BÖLCSŐDE!AI21+FALUHÁZ!AJ21+ÓVODA!AI21+PMH!AI21+ÖNKORMÁNYZAT!AI21</f>
        <v>1081730</v>
      </c>
      <c r="AJ21" s="55"/>
      <c r="AK21" s="55">
        <f>BÖLCSŐDE!AL21+FALUHÁZ!AK21+ÓVODA!AK21+PMH!AK21+ÖNKORMÁNYZAT!AK21</f>
        <v>1181730</v>
      </c>
      <c r="AM21" s="55">
        <f>BÖLCSŐDE!AM21+FALUHÁZ!AM21+ÓVODA!AM21+PMH!AM21+ÖNKORMÁNYZAT!AM21</f>
        <v>1816800</v>
      </c>
      <c r="AN21" s="55">
        <f>BÖLCSŐDE!AN21+FALUHÁZ!AN21+ÓVODA!AP21+PMH!AN21+ÖNKORMÁNYZAT!AP21</f>
        <v>0</v>
      </c>
      <c r="AO21" s="55">
        <f>BÖLCSŐDE!AO21+FALUHÁZ!AO21+ÓVODA!AQ21+PMH!AO21+ÖNKORMÁNYZAT!AQ21</f>
        <v>0</v>
      </c>
      <c r="AP21" s="55">
        <f>BÖLCSŐDE!AP21+FALUHÁZ!AP21+ÓVODA!AP21+PMH!AP21+ÖNKORMÁNYZAT!AP21</f>
        <v>1181730</v>
      </c>
      <c r="AQ21" s="55">
        <f>BÖLCSŐDE!AQ21+FALUHÁZ!AQ21+ÓVODA!AQ21+PMH!AQ21+ÖNKORMÁNYZAT!AQ21</f>
        <v>1081652</v>
      </c>
      <c r="AR21" s="55">
        <f t="shared" si="4"/>
        <v>100078</v>
      </c>
      <c r="AS21" s="54">
        <f t="shared" si="5"/>
        <v>91.531229637903749</v>
      </c>
      <c r="AT21" s="55">
        <f>BÖLCSŐDE!AT21+FALUHÁZ!AT21+ÓVODA!AT21+PMH!AT21+ÖNKORMÁNYZAT!AT21</f>
        <v>1235992</v>
      </c>
      <c r="AU21" s="55"/>
      <c r="AV21" s="54">
        <f t="shared" si="7"/>
        <v>0</v>
      </c>
      <c r="AW21" s="55">
        <f>BÖLCSŐDE!AW21+FALUHÁZ!AW21+ÓVODA!AW21+PMH!AW21+ÖNKORMÁNYZAT!AW21</f>
        <v>1181730</v>
      </c>
      <c r="AX21" s="55">
        <f>BÖLCSŐDE!AX21+FALUHÁZ!AX21+ÓVODA!AX21+PMH!AX21+ÖNKORMÁNYZAT!AX21</f>
        <v>1181730</v>
      </c>
      <c r="AY21" s="55">
        <f>BÖLCSŐDE!AY21+FALUHÁZ!AY21+ÓVODA!AY21+PMH!AY21+ÖNKORMÁNYZAT!AY21</f>
        <v>1181730</v>
      </c>
      <c r="AZ21" s="55">
        <f>BÖLCSŐDE!AZ21+FALUHÁZ!AZ21+ÓVODA!AZ21+PMH!AZ21+ÖNKORMÁNYZAT!AZ21</f>
        <v>1181730</v>
      </c>
      <c r="BA21" s="55">
        <f>BÖLCSŐDE!BA21+FALUHÁZ!BA21+ÓVODA!BA21+PMH!BA21+ÖNKORMÁNYZAT!BA21</f>
        <v>1181730</v>
      </c>
      <c r="BB21" s="501">
        <f>BÖLCSŐDE!BB21+FALUHÁZ!BB21+ÓVODA!BB21+PMH!BB21+ÖNKORMÁNYZAT!BB21</f>
        <v>1181730</v>
      </c>
      <c r="BC21" s="501">
        <f>BÖLCSŐDE!BC21+FALUHÁZ!BC21+ÓVODA!BC21+PMH!BC21+ÖNKORMÁNYZAT!BC21</f>
        <v>1181730</v>
      </c>
      <c r="BD21" s="501">
        <f>BÖLCSŐDE!BD21+FALUHÁZ!BD21+ÓVODA!BD21+PMH!BD21+ÖNKORMÁNYZAT!BD21</f>
        <v>1097270</v>
      </c>
      <c r="BE21" s="501">
        <f>BÖLCSŐDE!BE21+FALUHÁZ!BE21+ÓVODA!BE21+PMH!BE21+ÖNKORMÁNYZAT!BE21</f>
        <v>1396695</v>
      </c>
      <c r="BF21" s="501">
        <f>BÖLCSŐDE!BF21+FALUHÁZ!BF21+ÓVODA!BF21+PMH!BF21+ÖNKORMÁNYZAT!BF21</f>
        <v>1571625</v>
      </c>
      <c r="BG21" s="383">
        <f>BÖLCSŐDE!BG21+FALUHÁZ!BG21+ÓVODA!BG21+PMH!BG21+ÖNKORMÁNYZAT!BG21</f>
        <v>1885950</v>
      </c>
      <c r="BH21" s="65">
        <f>BÖLCSŐDE!BH21+FALUHÁZ!BH21+ÓVODA!BH21+PMH!BH21+ÖNKORMÁNYZAT!BH21</f>
        <v>1800000</v>
      </c>
      <c r="BI21" s="65">
        <f>BÖLCSŐDE!BI21+FALUHÁZ!BI21+ÓVODA!BI21+PMH!BI21+ÖNKORMÁNYZAT!BI21</f>
        <v>17300000</v>
      </c>
      <c r="BJ21" s="65">
        <v>0</v>
      </c>
      <c r="BK21" s="65">
        <f>BÖLCSŐDE!BK21+FALUHÁZ!BK21+ÓVODA!BK21+PMH!BK21+ÖNKORMÁNYZAT!BK21</f>
        <v>20371562</v>
      </c>
      <c r="BL21" s="65">
        <f>BÖLCSŐDE!BL21+FALUHÁZ!BL21+ÓVODA!BL21+PMH!BL21+ÖNKORMÁNYZAT!BL21</f>
        <v>24445874.399999999</v>
      </c>
      <c r="BM21" s="65">
        <f>BÖLCSŐDE!BM21+FALUHÁZ!BM21+ÓVODA!BM21+PMH!BM21+ÖNKORMÁNYZAT!BM21</f>
        <v>34000000</v>
      </c>
      <c r="BN21" s="65">
        <f>BÖLCSŐDE!BN21+FALUHÁZ!BN21+ÓVODA!BN21+PMH!BN21+ÖNKORMÁNYZAT!BN21</f>
        <v>34000000</v>
      </c>
      <c r="BO21" s="65">
        <f>BÖLCSŐDE!BO21+FALUHÁZ!BO21+ÓVODA!BO21+PMH!BO21+ÖNKORMÁNYZAT!BO21</f>
        <v>27977882</v>
      </c>
      <c r="BP21" s="65">
        <f>BÖLCSŐDE!BP21+FALUHÁZ!BP21+ÓVODA!BP21+PMH!BP21+ÖNKORMÁNYZAT!BP21</f>
        <v>33573458.400000006</v>
      </c>
      <c r="BQ21" s="65">
        <f>BÖLCSŐDE!BQ21+FALUHÁZ!BQ21+ÓVODA!BQ21+PMH!BQ21+ÖNKORMÁNYZAT!BQ21</f>
        <v>33573458</v>
      </c>
      <c r="BR21" s="65">
        <f>BÖLCSŐDE!BR21+FALUHÁZ!BR21+ÓVODA!BR21+PMH!BR21+ÖNKORMÁNYZAT!BR21</f>
        <v>33860094</v>
      </c>
      <c r="BS21" s="65">
        <f>BÖLCSŐDE!BS21+FALUHÁZ!BS21+ÓVODA!BS21+PMH!BS21+ÖNKORMÁNYZAT!BS21</f>
        <v>33860094</v>
      </c>
      <c r="BT21" s="65">
        <f>BÖLCSŐDE!BT21+FALUHÁZ!BT21+ÓVODA!BT21+PMH!BT21+ÖNKORMÁNYZAT!BT21</f>
        <v>33860094</v>
      </c>
      <c r="BU21" s="65">
        <f>BÖLCSŐDE!BU21+FALUHÁZ!BU21+ÓVODA!BU21+PMH!BU21+ÖNKORMÁNYZAT!BU21</f>
        <v>32600000</v>
      </c>
      <c r="BV21" s="65">
        <f>BÖLCSŐDE!BV21+FALUHÁZ!BV21+ÓVODA!BV21+PMH!BV21+ÖNKORMÁNYZAT!BV21</f>
        <v>34600000</v>
      </c>
    </row>
    <row r="22" spans="1:74" x14ac:dyDescent="0.25">
      <c r="A22" s="54" t="s">
        <v>23</v>
      </c>
      <c r="B22" s="55" t="s">
        <v>190</v>
      </c>
      <c r="C22" s="55">
        <f>BÖLCSŐDE!C22+FALUHÁZ!C22+ÓVODA!C22+PMH!C22+ÖNKORMÁNYZAT!C22</f>
        <v>4367545.78</v>
      </c>
      <c r="D22" s="55">
        <f>BÖLCSŐDE!D22+FALUHÁZ!D22+ÓVODA!D22+PMH!D22+ÖNKORMÁNYZAT!D22</f>
        <v>7051190</v>
      </c>
      <c r="E22" s="55">
        <f>BÖLCSŐDE!E22+FALUHÁZ!E22+ÓVODA!E22+PMH!E22+ÖNKORMÁNYZAT!E22</f>
        <v>5825957.3600000003</v>
      </c>
      <c r="F22" s="55">
        <f>BÖLCSŐDE!F22+FALUHÁZ!F22+ÓVODA!F22+PMH!F22+ÖNKORMÁNYZAT!F22</f>
        <v>7661528</v>
      </c>
      <c r="G22" s="55">
        <f>BÖLCSŐDE!G22+FALUHÁZ!G22+ÓVODA!G22+PMH!G22+ÖNKORMÁNYZAT!G22</f>
        <v>5825957</v>
      </c>
      <c r="H22" s="55">
        <f>BÖLCSŐDE!H22+FALUHÁZ!H22+ÓVODA!H22+PMH!H22+ÖNKORMÁNYZAT!H22</f>
        <v>8647017</v>
      </c>
      <c r="I22" s="55">
        <f t="shared" si="0"/>
        <v>9433109.4545454551</v>
      </c>
      <c r="J22" s="55">
        <v>5807686.3600000003</v>
      </c>
      <c r="K22" s="55">
        <v>5807686.3600000003</v>
      </c>
      <c r="L22" s="55">
        <f>BÖLCSŐDE!L22+FALUHÁZ!L22+ÓVODA!L22+PMH!L22+ÖNKORMÁNYZAT!L22</f>
        <v>5807686.3600000003</v>
      </c>
      <c r="M22" s="1">
        <f t="shared" si="1"/>
        <v>61.56704094217308</v>
      </c>
      <c r="O22" s="55">
        <f>BÖLCSŐDE!O22+FALUHÁZ!N22+ÓVODA!O22+PMH!O22+ÖNKORMÁNYZAT!O22</f>
        <v>5807686</v>
      </c>
      <c r="P22" s="55">
        <f>BÖLCSŐDE!P22+FALUHÁZ!O22+ÓVODA!P22+PMH!P22+ÖNKORMÁNYZAT!P22</f>
        <v>13779235</v>
      </c>
      <c r="Q22" s="55">
        <f>BÖLCSŐDE!Q22+FALUHÁZ!P22+ÓVODA!Q22+PMH!Q22+ÖNKORMÁNYZAT!Q22</f>
        <v>14272184</v>
      </c>
      <c r="R22" s="55">
        <f>BÖLCSŐDE!R22+FALUHÁZ!Q22+ÓVODA!R22+PMH!R22+ÖNKORMÁNYZAT!R22</f>
        <v>6498000</v>
      </c>
      <c r="S22" s="55">
        <f>BÖLCSŐDE!S22+FALUHÁZ!R22+ÓVODA!S22+PMH!S22+ÖNKORMÁNYZAT!S22</f>
        <v>5807686</v>
      </c>
      <c r="T22" s="55">
        <f>BÖLCSŐDE!T22+FALUHÁZ!S22+ÓVODA!T22+PMH!T22+ÖNKORMÁNYZAT!T22</f>
        <v>18492959</v>
      </c>
      <c r="U22" s="55">
        <f>BÖLCSŐDE!U22+FALUHÁZ!T22+ÓVODA!U22+PMH!U22+ÖNKORMÁNYZAT!U22</f>
        <v>6498000</v>
      </c>
      <c r="V22" s="55">
        <f>BÖLCSŐDE!V22+FALUHÁZ!U22+ÓVODA!V22+PMH!V22+ÖNKORMÁNYZAT!V22</f>
        <v>6498000</v>
      </c>
      <c r="W22" s="55">
        <f>BÖLCSŐDE!W22+FALUHÁZ!V22+ÓVODA!W22+PMH!W22+ÖNKORMÁNYZAT!W22</f>
        <v>6498000</v>
      </c>
      <c r="X22" s="122">
        <f t="shared" si="2"/>
        <v>284.59462911665128</v>
      </c>
      <c r="AA22" s="55">
        <f>BÖLCSŐDE!AA22+FALUHÁZ!Z22+ÓVODA!AA22+PMH!AA22+ÖNKORMÁNYZAT!AA22</f>
        <v>6959022.0300000003</v>
      </c>
      <c r="AB22" s="55">
        <f>BÖLCSŐDE!AB22+FALUHÁZ!AA22+ÓVODA!AB22+PMH!AB22+ÖNKORMÁNYZAT!AB22</f>
        <v>12085848</v>
      </c>
      <c r="AC22" s="55">
        <f>BÖLCSŐDE!AB22+FALUHÁZ!AA22+ÓVODA!AB22+PMH!AB22+ÖNKORMÁNYZAT!AB22</f>
        <v>12085848</v>
      </c>
      <c r="AD22" s="55">
        <f>BÖLCSŐDE!AC22+FALUHÁZ!AB22+ÓVODA!AC22+PMH!AC22+ÖNKORMÁNYZAT!AC22</f>
        <v>19320927</v>
      </c>
      <c r="AE22" s="223">
        <f>BÖLCSŐDE!AE22+FALUHÁZ!AD22+ÓVODA!AE22+PMH!AE22+ÖNKORMÁNYZAT!AD22</f>
        <v>17213872.105039332</v>
      </c>
      <c r="AF22" s="122">
        <f t="shared" si="3"/>
        <v>277.63853766676465</v>
      </c>
      <c r="AG22" s="55">
        <f>BÖLCSŐDE!AG22+FALUHÁZ!AG22+ÓVODA!AG22+PMH!AG22+ÖNKORMÁNYZAT!AG22</f>
        <v>23064739</v>
      </c>
      <c r="AH22" s="55"/>
      <c r="AI22" s="55">
        <f>BÖLCSŐDE!AI22+FALUHÁZ!AJ22+ÓVODA!AI22+PMH!AI22+ÖNKORMÁNYZAT!AI22</f>
        <v>18955553.712000001</v>
      </c>
      <c r="AJ22" s="55"/>
      <c r="AK22" s="55">
        <f>BÖLCSŐDE!AL22+FALUHÁZ!AK22+ÓVODA!AK22+PMH!AK22+ÖNKORMÁNYZAT!AK22</f>
        <v>19500299.712000001</v>
      </c>
      <c r="AM22" s="55">
        <f>BÖLCSŐDE!AM22+FALUHÁZ!AM22+ÓVODA!AM22+PMH!AM22+ÖNKORMÁNYZAT!AM22</f>
        <v>44599770</v>
      </c>
      <c r="AN22" s="55">
        <f>BÖLCSŐDE!AN22+FALUHÁZ!AN22+ÓVODA!AP22+PMH!AN22+ÖNKORMÁNYZAT!AP22</f>
        <v>17961300</v>
      </c>
      <c r="AO22" s="55">
        <f>BÖLCSŐDE!AO22+FALUHÁZ!AO22+ÓVODA!AQ22+PMH!AO22+ÖNKORMÁNYZAT!AQ22</f>
        <v>2649065</v>
      </c>
      <c r="AP22" s="55">
        <f>BÖLCSŐDE!AP22+FALUHÁZ!AP22+ÓVODA!AP22+PMH!AP22+ÖNKORMÁNYZAT!AP22</f>
        <v>19500300</v>
      </c>
      <c r="AQ22" s="55">
        <f>BÖLCSŐDE!AQ22+FALUHÁZ!AQ22+ÓVODA!AQ22+PMH!AQ22+ÖNKORMÁNYZAT!AQ22</f>
        <v>3109609</v>
      </c>
      <c r="AR22" s="55">
        <f t="shared" si="4"/>
        <v>16390691</v>
      </c>
      <c r="AS22" s="54">
        <f t="shared" si="5"/>
        <v>15.946467490243741</v>
      </c>
      <c r="AT22" s="55">
        <f>BÖLCSŐDE!AT22+FALUHÁZ!AT22+ÓVODA!AT22+PMH!AT22+ÖNKORMÁNYZAT!AT22</f>
        <v>4551864</v>
      </c>
      <c r="AU22" s="55">
        <f t="shared" si="6"/>
        <v>14948436</v>
      </c>
      <c r="AV22" s="54">
        <f t="shared" si="7"/>
        <v>76.65746680820294</v>
      </c>
      <c r="AW22" s="55">
        <f>BÖLCSŐDE!AW22+FALUHÁZ!AW22+ÓVODA!AW22+PMH!AW22+ÖNKORMÁNYZAT!AW22</f>
        <v>9846174</v>
      </c>
      <c r="AX22" s="55">
        <f>BÖLCSŐDE!AX22+FALUHÁZ!AX22+ÓVODA!AX22+PMH!AX22+ÖNKORMÁNYZAT!AX22</f>
        <v>9846174</v>
      </c>
      <c r="AY22" s="55">
        <f>BÖLCSŐDE!AY22+FALUHÁZ!AY22+ÓVODA!AY22+PMH!AY22+ÖNKORMÁNYZAT!AY22</f>
        <v>9846174</v>
      </c>
      <c r="AZ22" s="55">
        <f>BÖLCSŐDE!AZ22+FALUHÁZ!AZ22+ÓVODA!AZ22+PMH!AZ22+ÖNKORMÁNYZAT!AZ22</f>
        <v>9846174</v>
      </c>
      <c r="BA22" s="55">
        <f>BÖLCSŐDE!BA22+FALUHÁZ!BA22+ÓVODA!BA22+PMH!BA22+ÖNKORMÁNYZAT!BA22</f>
        <v>9846174</v>
      </c>
      <c r="BB22" s="501">
        <f>BÖLCSŐDE!BB22+FALUHÁZ!BB22+ÓVODA!BB22+PMH!BB22+ÖNKORMÁNYZAT!BB22</f>
        <v>9846174</v>
      </c>
      <c r="BC22" s="501">
        <f>BÖLCSŐDE!BC22+FALUHÁZ!BC22+ÓVODA!BC22+PMH!BC22+ÖNKORMÁNYZAT!BC22</f>
        <v>9846174</v>
      </c>
      <c r="BD22" s="501">
        <f>BÖLCSŐDE!BD22+FALUHÁZ!BD22+ÓVODA!BD22+PMH!BD22+ÖNKORMÁNYZAT!BD22</f>
        <v>36517537</v>
      </c>
      <c r="BE22" s="501">
        <f>BÖLCSŐDE!BE22+FALUHÁZ!BE22+ÓVODA!BE22+PMH!BE22+ÖNKORMÁNYZAT!BE22</f>
        <v>38730193</v>
      </c>
      <c r="BF22" s="501">
        <f>BÖLCSŐDE!BF22+FALUHÁZ!BF22+ÓVODA!BF22+PMH!BF22+ÖNKORMÁNYZAT!BF22</f>
        <v>39297776</v>
      </c>
      <c r="BG22" s="383">
        <f>BÖLCSŐDE!BG22+FALUHÁZ!BG22+ÓVODA!BG22+PMH!BG22+ÖNKORMÁNYZAT!BG22</f>
        <v>47157331.200000003</v>
      </c>
      <c r="BH22" s="65">
        <f>BÖLCSŐDE!BH22+FALUHÁZ!BH22+ÓVODA!BH22+PMH!BH22+ÖNKORMÁNYZAT!BH22</f>
        <v>13966530</v>
      </c>
      <c r="BI22" s="65">
        <f>BÖLCSŐDE!BI22+FALUHÁZ!BI22+ÓVODA!BI22+PMH!BI22+ÖNKORMÁNYZAT!BI22</f>
        <v>13966530</v>
      </c>
      <c r="BJ22" s="65">
        <f>BÖLCSŐDE!BJ22+FALUHÁZ!BJ22+ÓVODA!BJ22+PMH!BJ22+ÖNKORMÁNYZAT!BJ22</f>
        <v>5859818</v>
      </c>
      <c r="BK22" s="65">
        <f>BÖLCSŐDE!BK22+FALUHÁZ!BK22+ÓVODA!BK22+PMH!BK22+ÖNKORMÁNYZAT!BK22</f>
        <v>9981864</v>
      </c>
      <c r="BL22" s="65">
        <f>BÖLCSŐDE!BL22+FALUHÁZ!BL22+ÓVODA!BL22+PMH!BL22+ÖNKORMÁNYZAT!BL22</f>
        <v>11978236.800000001</v>
      </c>
      <c r="BM22" s="65">
        <f>BÖLCSŐDE!BM22+FALUHÁZ!BM22+ÓVODA!BM22+PMH!BM22+ÖNKORMÁNYZAT!BM22</f>
        <v>13902235.488</v>
      </c>
      <c r="BN22" s="65">
        <f>BÖLCSŐDE!BN22+FALUHÁZ!BN22+ÓVODA!BN22+PMH!BN22+ÖNKORMÁNYZAT!BN22</f>
        <v>13902235</v>
      </c>
      <c r="BO22" s="65">
        <f>BÖLCSŐDE!BO22+FALUHÁZ!BO22+ÓVODA!BO22+PMH!BO22+ÖNKORMÁNYZAT!BO22</f>
        <v>11462233</v>
      </c>
      <c r="BP22" s="65">
        <f>BÖLCSŐDE!BP22+FALUHÁZ!BP22+ÓVODA!BP22+PMH!BP22+ÖNKORMÁNYZAT!BP22</f>
        <v>13754679.6</v>
      </c>
      <c r="BQ22" s="65">
        <f>BÖLCSŐDE!BQ22+FALUHÁZ!BQ22+ÓVODA!BQ22+PMH!BQ22+ÖNKORMÁNYZAT!BQ22</f>
        <v>13790814.300000001</v>
      </c>
      <c r="BR22" s="65">
        <f>BÖLCSŐDE!BR22+FALUHÁZ!BR22+ÓVODA!BR22+PMH!BR22+ÖNKORMÁNYZAT!BR22</f>
        <v>14559226</v>
      </c>
      <c r="BS22" s="65">
        <f>BÖLCSŐDE!BS22+FALUHÁZ!BS22+ÓVODA!BS22+PMH!BS22+ÖNKORMÁNYZAT!BS22</f>
        <v>14559226</v>
      </c>
      <c r="BT22" s="65">
        <f>BÖLCSŐDE!BT22+FALUHÁZ!BT22+ÓVODA!BT22+PMH!BT22+ÖNKORMÁNYZAT!BT22</f>
        <v>77324226</v>
      </c>
      <c r="BU22" s="65">
        <f>BÖLCSŐDE!BU22+FALUHÁZ!BU22+ÓVODA!BU22+PMH!BU22+ÖNKORMÁNYZAT!BU22</f>
        <v>52300000</v>
      </c>
      <c r="BV22" s="65">
        <f>BÖLCSŐDE!BV22+FALUHÁZ!BV22+ÓVODA!BV22+PMH!BV22+ÖNKORMÁNYZAT!BV22</f>
        <v>29055693</v>
      </c>
    </row>
    <row r="23" spans="1:74" x14ac:dyDescent="0.25">
      <c r="A23" s="54" t="s">
        <v>758</v>
      </c>
      <c r="B23" s="55" t="s">
        <v>759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O23" s="55"/>
      <c r="P23" s="55"/>
      <c r="Q23" s="55"/>
      <c r="R23" s="55"/>
      <c r="S23" s="55"/>
      <c r="T23" s="55"/>
      <c r="U23" s="55"/>
      <c r="V23" s="55"/>
      <c r="W23" s="55"/>
      <c r="X23" s="122"/>
      <c r="AA23" s="55"/>
      <c r="AB23" s="55"/>
      <c r="AC23" s="55"/>
      <c r="AD23" s="55"/>
      <c r="AE23" s="223"/>
      <c r="AF23" s="122"/>
      <c r="AG23" s="55"/>
      <c r="AH23" s="55"/>
      <c r="AI23" s="55"/>
      <c r="AJ23" s="55"/>
      <c r="AK23" s="55"/>
      <c r="AM23" s="55"/>
      <c r="AN23" s="55"/>
      <c r="AO23" s="55"/>
      <c r="AP23" s="55"/>
      <c r="AQ23" s="55"/>
      <c r="AR23" s="55"/>
      <c r="AS23" s="54"/>
      <c r="AT23" s="55"/>
      <c r="AU23" s="55"/>
      <c r="AV23" s="54"/>
      <c r="AW23" s="55"/>
      <c r="AX23" s="55"/>
      <c r="AY23" s="55"/>
      <c r="AZ23" s="55"/>
      <c r="BA23" s="55"/>
      <c r="BB23" s="501"/>
      <c r="BC23" s="501"/>
      <c r="BD23" s="501"/>
      <c r="BE23" s="501"/>
      <c r="BF23" s="501"/>
      <c r="BG23" s="383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>
        <f>BÖLCSŐDE!BU23+FALUHÁZ!BU23+ÓVODA!BU23+PMH!BU23+ÖNKORMÁNYZAT!BU23</f>
        <v>5000000</v>
      </c>
      <c r="BV23" s="65">
        <f>BÖLCSŐDE!BV23+FALUHÁZ!BV23+ÓVODA!BV23+PMH!BV23+ÖNKORMÁNYZAT!BV23</f>
        <v>3950000</v>
      </c>
    </row>
    <row r="24" spans="1:74" x14ac:dyDescent="0.25">
      <c r="A24" s="54" t="s">
        <v>24</v>
      </c>
      <c r="B24" s="58" t="s">
        <v>195</v>
      </c>
      <c r="C24" s="55">
        <f>BÖLCSŐDE!C24+FALUHÁZ!C24+ÓVODA!C24+PMH!C24+ÖNKORMÁNYZAT!C24</f>
        <v>2732</v>
      </c>
      <c r="D24" s="55">
        <f>BÖLCSŐDE!D24+FALUHÁZ!D24+ÓVODA!D24+PMH!D24+ÖNKORMÁNYZAT!D24</f>
        <v>51142</v>
      </c>
      <c r="E24" s="55">
        <f>BÖLCSŐDE!E24+FALUHÁZ!E24+ÓVODA!E24+PMH!E24+ÖNKORMÁNYZAT!E24</f>
        <v>2732</v>
      </c>
      <c r="F24" s="55">
        <f>BÖLCSŐDE!F24+FALUHÁZ!F24+ÓVODA!F24+PMH!F24+ÖNKORMÁNYZAT!F24</f>
        <v>351434</v>
      </c>
      <c r="G24" s="55">
        <f>BÖLCSŐDE!G24+FALUHÁZ!G24+ÓVODA!G24+PMH!G24+ÖNKORMÁNYZAT!G24</f>
        <v>2732</v>
      </c>
      <c r="H24" s="55">
        <f>BÖLCSŐDE!H24+FALUHÁZ!H24+ÓVODA!H24+PMH!H24+ÖNKORMÁNYZAT!H24</f>
        <v>331450</v>
      </c>
      <c r="I24" s="55">
        <f t="shared" si="0"/>
        <v>361581.81818181818</v>
      </c>
      <c r="J24" s="55">
        <v>102732</v>
      </c>
      <c r="K24" s="55">
        <v>102732</v>
      </c>
      <c r="L24" s="55">
        <f>BÖLCSŐDE!L24+FALUHÁZ!L24+ÓVODA!L24+PMH!L24+ÖNKORMÁNYZAT!L24</f>
        <v>102732</v>
      </c>
      <c r="M24" s="1">
        <f t="shared" si="1"/>
        <v>28.411826821541712</v>
      </c>
      <c r="O24" s="55">
        <f>BÖLCSŐDE!O24+FALUHÁZ!N24+ÓVODA!O24+PMH!O24+ÖNKORMÁNYZAT!O24</f>
        <v>102732</v>
      </c>
      <c r="P24" s="55">
        <f>BÖLCSŐDE!P24+FALUHÁZ!O24+ÓVODA!P24+PMH!P24+ÖNKORMÁNYZAT!P24</f>
        <v>2683</v>
      </c>
      <c r="Q24" s="55">
        <f>BÖLCSŐDE!Q24+FALUHÁZ!P24+ÓVODA!Q24+PMH!Q24+ÖNKORMÁNYZAT!Q24</f>
        <v>2683</v>
      </c>
      <c r="R24" s="55">
        <f>BÖLCSŐDE!R24+FALUHÁZ!Q24+ÓVODA!R24+PMH!R24+ÖNKORMÁNYZAT!R24</f>
        <v>3000</v>
      </c>
      <c r="S24" s="55">
        <f>BÖLCSŐDE!S24+FALUHÁZ!R24+ÓVODA!S24+PMH!S24+ÖNKORMÁNYZAT!S24</f>
        <v>102732</v>
      </c>
      <c r="T24" s="55">
        <f>BÖLCSŐDE!T24+FALUHÁZ!S24+ÓVODA!T24+PMH!T24+ÖNKORMÁNYZAT!T24</f>
        <v>2765</v>
      </c>
      <c r="U24" s="55">
        <f>BÖLCSŐDE!U24+FALUHÁZ!T24+ÓVODA!U24+PMH!U24+ÖNKORMÁNYZAT!U24</f>
        <v>3000</v>
      </c>
      <c r="V24" s="55">
        <f>BÖLCSŐDE!V24+FALUHÁZ!U24+ÓVODA!V24+PMH!V24+ÖNKORMÁNYZAT!V24</f>
        <v>3000</v>
      </c>
      <c r="W24" s="55">
        <f>BÖLCSŐDE!W24+FALUHÁZ!V24+ÓVODA!W24+PMH!W24+ÖNKORMÁNYZAT!W24</f>
        <v>3000</v>
      </c>
      <c r="X24" s="122">
        <f t="shared" si="2"/>
        <v>92.166666666666657</v>
      </c>
      <c r="AA24" s="55">
        <f>BÖLCSŐDE!AA24+FALUHÁZ!Z24+ÓVODA!AA24+PMH!AA24+ÖNKORMÁNYZAT!AA24</f>
        <v>3000</v>
      </c>
      <c r="AB24" s="55">
        <f>BÖLCSŐDE!AB24+FALUHÁZ!AA24+ÓVODA!AB24+PMH!AB24+ÖNKORMÁNYZAT!AB24</f>
        <v>140</v>
      </c>
      <c r="AC24" s="55">
        <f>BÖLCSŐDE!AB24+FALUHÁZ!AA24+ÓVODA!AB24+PMH!AB24+ÖNKORMÁNYZAT!AB24</f>
        <v>140</v>
      </c>
      <c r="AD24" s="55">
        <f>BÖLCSŐDE!AC24+FALUHÁZ!AB24+ÓVODA!AC24+PMH!AC24+ÖNKORMÁNYZAT!AC24</f>
        <v>175</v>
      </c>
      <c r="AE24" s="223">
        <f>BÖLCSŐDE!AE24+FALUHÁZ!AD24+ÓVODA!AE24+PMH!AE24+ÖNKORMÁNYZAT!AD24</f>
        <v>1842</v>
      </c>
      <c r="AF24" s="122">
        <f t="shared" si="3"/>
        <v>5.833333333333333</v>
      </c>
      <c r="AG24" s="55">
        <f>BÖLCSŐDE!AG24+FALUHÁZ!AG24+ÓVODA!AG24+PMH!AG24+ÖNKORMÁNYZAT!AG24</f>
        <v>1843</v>
      </c>
      <c r="AH24" s="55"/>
      <c r="AI24" s="55">
        <f>BÖLCSŐDE!AI24+FALUHÁZ!AJ24+ÓVODA!AI24+PMH!AI24+ÖNKORMÁNYZAT!AI24</f>
        <v>2254.6079999999997</v>
      </c>
      <c r="AJ24" s="55"/>
      <c r="AK24" s="55">
        <f>BÖLCSŐDE!AL24+FALUHÁZ!AK24+ÓVODA!AK24+PMH!AK24+ÖNKORMÁNYZAT!AK24</f>
        <v>2254.6079999999997</v>
      </c>
      <c r="AM24" s="55">
        <f>BÖLCSŐDE!AM24+FALUHÁZ!AM24+ÓVODA!AM24+PMH!AM24+ÖNKORMÁNYZAT!AM24</f>
        <v>1844</v>
      </c>
      <c r="AN24" s="55">
        <f>BÖLCSŐDE!AN24+FALUHÁZ!AN24+ÓVODA!AP24+PMH!AN24+ÖNKORMÁNYZAT!AP24</f>
        <v>2255</v>
      </c>
      <c r="AO24" s="55">
        <f>BÖLCSŐDE!AO24+FALUHÁZ!AO24+ÓVODA!AQ24+PMH!AO24+ÖNKORMÁNYZAT!AQ24</f>
        <v>17</v>
      </c>
      <c r="AP24" s="55">
        <f>BÖLCSŐDE!AP24+FALUHÁZ!AP24+ÓVODA!AP24+PMH!AP24+ÖNKORMÁNYZAT!AP24</f>
        <v>2255</v>
      </c>
      <c r="AQ24" s="55">
        <f>BÖLCSŐDE!AQ24+FALUHÁZ!AQ24+ÓVODA!AQ24+PMH!AQ24+ÖNKORMÁNYZAT!AQ24</f>
        <v>17</v>
      </c>
      <c r="AR24" s="55">
        <f t="shared" si="4"/>
        <v>2238</v>
      </c>
      <c r="AS24" s="54">
        <f t="shared" si="5"/>
        <v>0.75388026607538805</v>
      </c>
      <c r="AT24" s="55">
        <f>BÖLCSŐDE!AT24+FALUHÁZ!AT24+ÓVODA!AT24+PMH!AT24+ÖNKORMÁNYZAT!AT24</f>
        <v>17</v>
      </c>
      <c r="AU24" s="55">
        <f t="shared" si="6"/>
        <v>2238</v>
      </c>
      <c r="AV24" s="54">
        <f t="shared" si="7"/>
        <v>99.246119733924616</v>
      </c>
      <c r="AW24" s="55">
        <f>BÖLCSŐDE!AW24+FALUHÁZ!AW24+ÓVODA!AW24+PMH!AW24+ÖNKORMÁNYZAT!AW24</f>
        <v>2255</v>
      </c>
      <c r="AX24" s="55">
        <f>BÖLCSŐDE!AX24+FALUHÁZ!AX24+ÓVODA!AX24+PMH!AX24+ÖNKORMÁNYZAT!AX24</f>
        <v>1000</v>
      </c>
      <c r="AY24" s="55">
        <f>BÖLCSŐDE!AY24+FALUHÁZ!AY24+ÓVODA!AY24+PMH!AY24+ÖNKORMÁNYZAT!AY24</f>
        <v>1000</v>
      </c>
      <c r="AZ24" s="55">
        <f>BÖLCSŐDE!AZ24+FALUHÁZ!AZ24+ÓVODA!AZ24+PMH!AZ24+ÖNKORMÁNYZAT!AZ24</f>
        <v>1000</v>
      </c>
      <c r="BA24" s="55">
        <f>BÖLCSŐDE!BA24+FALUHÁZ!BA24+ÓVODA!BA24+PMH!BA24+ÖNKORMÁNYZAT!BA24</f>
        <v>1000</v>
      </c>
      <c r="BB24" s="501">
        <f>BÖLCSŐDE!BB24+FALUHÁZ!BB24+ÓVODA!BB24+PMH!BB24+ÖNKORMÁNYZAT!BB24</f>
        <v>1000</v>
      </c>
      <c r="BC24" s="501">
        <f>BÖLCSŐDE!BC24+FALUHÁZ!BC24+ÓVODA!BC24+PMH!BC24+ÖNKORMÁNYZAT!BC24</f>
        <v>1000</v>
      </c>
      <c r="BD24" s="501">
        <f>BÖLCSŐDE!BD24+FALUHÁZ!BD24+ÓVODA!BD24+PMH!BD24+ÖNKORMÁNYZAT!BD24</f>
        <v>0</v>
      </c>
      <c r="BE24" s="501">
        <f>BÖLCSŐDE!BE24+FALUHÁZ!BE24+ÓVODA!BE24+PMH!BE24+ÖNKORMÁNYZAT!BE24</f>
        <v>0</v>
      </c>
      <c r="BF24" s="501">
        <f>BÖLCSŐDE!BF24+FALUHÁZ!BF24+ÓVODA!BF24+PMH!BF24+ÖNKORMÁNYZAT!BF24</f>
        <v>0</v>
      </c>
      <c r="BG24" s="383">
        <f>BÖLCSŐDE!BG24+FALUHÁZ!BG24+ÓVODA!BG24+PMH!BG24+ÖNKORMÁNYZAT!BG24</f>
        <v>0</v>
      </c>
      <c r="BH24" s="65">
        <f>BÖLCSŐDE!BH24+FALUHÁZ!BH24+ÓVODA!BH24+PMH!BH24+ÖNKORMÁNYZAT!BH24</f>
        <v>1000</v>
      </c>
      <c r="BI24" s="65">
        <f>BÖLCSŐDE!BI24+FALUHÁZ!BI24+ÓVODA!BI24+PMH!BI24+ÖNKORMÁNYZAT!BI24</f>
        <v>1000</v>
      </c>
      <c r="BJ24" s="65">
        <f>BÖLCSŐDE!BJ24+FALUHÁZ!BJ24+ÓVODA!BJ24+PMH!BJ24+ÖNKORMÁNYZAT!BJ24</f>
        <v>9893</v>
      </c>
      <c r="BK24" s="65">
        <f>BÖLCSŐDE!BK24+FALUHÁZ!BK24+ÓVODA!BK24+PMH!BK24+ÖNKORMÁNYZAT!BK24</f>
        <v>9893</v>
      </c>
      <c r="BL24" s="65">
        <f>BÖLCSŐDE!BL24+FALUHÁZ!BL24+ÓVODA!BL24+PMH!BL24+ÖNKORMÁNYZAT!BL24</f>
        <v>10000</v>
      </c>
      <c r="BM24" s="65">
        <f>BÖLCSŐDE!BM24+FALUHÁZ!BM24+ÓVODA!BM24+PMH!BM24+ÖNKORMÁNYZAT!BM24</f>
        <v>10000</v>
      </c>
      <c r="BN24" s="65">
        <f>BÖLCSŐDE!BN24+FALUHÁZ!BN24+ÓVODA!BN24+PMH!BN24+ÖNKORMÁNYZAT!BN24</f>
        <v>10000</v>
      </c>
      <c r="BO24" s="65">
        <f>BÖLCSŐDE!BO24+FALUHÁZ!BO24+ÓVODA!BO24+PMH!BO24+ÖNKORMÁNYZAT!BO24</f>
        <v>0</v>
      </c>
      <c r="BP24" s="65">
        <f>BÖLCSŐDE!BP24+FALUHÁZ!BP24+ÓVODA!BP24+PMH!BP24+ÖNKORMÁNYZAT!BP24</f>
        <v>0</v>
      </c>
      <c r="BQ24" s="65">
        <f>BÖLCSŐDE!BQ24+FALUHÁZ!BQ24+ÓVODA!BQ24+PMH!BQ24+ÖNKORMÁNYZAT!BQ24</f>
        <v>0</v>
      </c>
      <c r="BR24" s="65">
        <f>BÖLCSŐDE!BR24+FALUHÁZ!BR24+ÓVODA!BR24+PMH!BR24+ÖNKORMÁNYZAT!BR24</f>
        <v>0</v>
      </c>
      <c r="BS24" s="65">
        <f>BÖLCSŐDE!BS24+FALUHÁZ!BS24+ÓVODA!BS24+PMH!BS24+ÖNKORMÁNYZAT!BS24</f>
        <v>0</v>
      </c>
      <c r="BT24" s="65">
        <f>BÖLCSŐDE!BT24+FALUHÁZ!BT24+ÓVODA!BT24+PMH!BT24+ÖNKORMÁNYZAT!BT24</f>
        <v>0</v>
      </c>
      <c r="BU24" s="65">
        <f>BÖLCSŐDE!BU24+FALUHÁZ!BU24+ÓVODA!BU24+PMH!BU24+ÖNKORMÁNYZAT!BU24</f>
        <v>0</v>
      </c>
      <c r="BV24" s="65">
        <f>BÖLCSŐDE!BV24+FALUHÁZ!BV24+ÓVODA!BV24+PMH!BV24+ÖNKORMÁNYZAT!BV24</f>
        <v>0</v>
      </c>
    </row>
    <row r="25" spans="1:74" x14ac:dyDescent="0.25">
      <c r="A25" s="54" t="s">
        <v>25</v>
      </c>
      <c r="B25" s="55" t="s">
        <v>191</v>
      </c>
      <c r="C25" s="55">
        <f>BÖLCSŐDE!C25+FALUHÁZ!C25+ÓVODA!C25+PMH!C25+ÖNKORMÁNYZAT!C25</f>
        <v>0</v>
      </c>
      <c r="D25" s="55">
        <f>BÖLCSŐDE!D25+FALUHÁZ!D25+ÓVODA!D25+PMH!D25+ÖNKORMÁNYZAT!D25</f>
        <v>0</v>
      </c>
      <c r="E25" s="55">
        <f>BÖLCSŐDE!E25+FALUHÁZ!E25+ÓVODA!E25+PMH!E25+ÖNKORMÁNYZAT!E25</f>
        <v>0</v>
      </c>
      <c r="F25" s="55">
        <f>BÖLCSŐDE!F25+FALUHÁZ!F25+ÓVODA!F25+PMH!F25+ÖNKORMÁNYZAT!F25</f>
        <v>590179</v>
      </c>
      <c r="G25" s="55">
        <f>BÖLCSŐDE!G25+FALUHÁZ!G25+ÓVODA!G25+PMH!G25+ÖNKORMÁNYZAT!G25</f>
        <v>0</v>
      </c>
      <c r="H25" s="55">
        <f>BÖLCSŐDE!H25+FALUHÁZ!H25+ÓVODA!H25+PMH!H25+ÖNKORMÁNYZAT!H25</f>
        <v>590088</v>
      </c>
      <c r="I25" s="55">
        <f t="shared" si="0"/>
        <v>643732.36363636365</v>
      </c>
      <c r="J25" s="55">
        <v>0</v>
      </c>
      <c r="K25" s="55">
        <v>0</v>
      </c>
      <c r="L25" s="55">
        <f>BÖLCSŐDE!L25+FALUHÁZ!L25+ÓVODA!L25+PMH!L25+ÖNKORMÁNYZAT!L25</f>
        <v>0</v>
      </c>
      <c r="M25" s="1">
        <f t="shared" si="1"/>
        <v>0</v>
      </c>
      <c r="O25" s="55">
        <f>BÖLCSŐDE!O25+FALUHÁZ!N25+ÓVODA!O25+PMH!O25+ÖNKORMÁNYZAT!O25</f>
        <v>0</v>
      </c>
      <c r="P25" s="55">
        <f>BÖLCSŐDE!P25+FALUHÁZ!O25+ÓVODA!P25+PMH!P25+ÖNKORMÁNYZAT!P25</f>
        <v>30000</v>
      </c>
      <c r="Q25" s="55">
        <f>BÖLCSŐDE!Q25+FALUHÁZ!P25+ÓVODA!Q25+PMH!Q25+ÖNKORMÁNYZAT!Q25</f>
        <v>30000</v>
      </c>
      <c r="R25" s="55">
        <f>BÖLCSŐDE!R25+FALUHÁZ!Q25+ÓVODA!R25+PMH!R25+ÖNKORMÁNYZAT!R25</f>
        <v>0</v>
      </c>
      <c r="S25" s="55">
        <f>BÖLCSŐDE!S25+FALUHÁZ!R25+ÓVODA!S25+PMH!S25+ÖNKORMÁNYZAT!S25</f>
        <v>0</v>
      </c>
      <c r="T25" s="55">
        <f>BÖLCSŐDE!T25+FALUHÁZ!S25+ÓVODA!T25+PMH!T25+ÖNKORMÁNYZAT!T25</f>
        <v>30000</v>
      </c>
      <c r="U25" s="55">
        <f>BÖLCSŐDE!U25+FALUHÁZ!T25+ÓVODA!U25+PMH!U25+ÖNKORMÁNYZAT!U25</f>
        <v>0</v>
      </c>
      <c r="V25" s="55">
        <f>BÖLCSŐDE!V25+FALUHÁZ!U25+ÓVODA!V25+PMH!V25+ÖNKORMÁNYZAT!V25</f>
        <v>0</v>
      </c>
      <c r="W25" s="55">
        <f>BÖLCSŐDE!W25+FALUHÁZ!V25+ÓVODA!W25+PMH!W25+ÖNKORMÁNYZAT!W25</f>
        <v>0</v>
      </c>
      <c r="X25" s="122"/>
      <c r="AA25" s="55">
        <f>BÖLCSŐDE!AA25+FALUHÁZ!Z25+ÓVODA!AA25+PMH!AA25+ÖNKORMÁNYZAT!AA25</f>
        <v>0</v>
      </c>
      <c r="AB25" s="55">
        <f>BÖLCSŐDE!AB25+FALUHÁZ!AA25+ÓVODA!AB25+PMH!AB25+ÖNKORMÁNYZAT!AB25</f>
        <v>0</v>
      </c>
      <c r="AC25" s="55">
        <f>BÖLCSŐDE!AB25+FALUHÁZ!AA25+ÓVODA!AB25+PMH!AB25+ÖNKORMÁNYZAT!AB25</f>
        <v>0</v>
      </c>
      <c r="AD25" s="55">
        <f>BÖLCSŐDE!AC25+FALUHÁZ!AB25+ÓVODA!AC25+PMH!AC25+ÖNKORMÁNYZAT!AC25</f>
        <v>0</v>
      </c>
      <c r="AE25" s="223">
        <f>BÖLCSŐDE!AE25+FALUHÁZ!AD25+ÓVODA!AE25+PMH!AE25+ÖNKORMÁNYZAT!AD25</f>
        <v>0</v>
      </c>
      <c r="AF25" s="122"/>
      <c r="AG25" s="55">
        <f>BÖLCSŐDE!AG25+FALUHÁZ!AG25+ÓVODA!AG25+PMH!AG25+ÖNKORMÁNYZAT!AG25</f>
        <v>0</v>
      </c>
      <c r="AH25" s="55"/>
      <c r="AI25" s="55">
        <f>BÖLCSŐDE!AI25+FALUHÁZ!AJ25+ÓVODA!AI25+PMH!AI25+ÖNKORMÁNYZAT!AI25</f>
        <v>0</v>
      </c>
      <c r="AJ25" s="55"/>
      <c r="AK25" s="55">
        <f>BÖLCSŐDE!AL25+FALUHÁZ!AK25+ÓVODA!AK25+PMH!AK25+ÖNKORMÁNYZAT!AK25</f>
        <v>0</v>
      </c>
      <c r="AM25" s="55">
        <f>BÖLCSŐDE!AM25+FALUHÁZ!AM25+ÓVODA!AM25+PMH!AM25+ÖNKORMÁNYZAT!AM25</f>
        <v>0</v>
      </c>
      <c r="AN25" s="55">
        <f>BÖLCSŐDE!AN25+FALUHÁZ!AN25+ÓVODA!AP25+PMH!AN25+ÖNKORMÁNYZAT!AP25</f>
        <v>118422</v>
      </c>
      <c r="AO25" s="55">
        <f>BÖLCSŐDE!AO25+FALUHÁZ!AO25+ÓVODA!AQ25+PMH!AO25+ÖNKORMÁNYZAT!AQ25</f>
        <v>0</v>
      </c>
      <c r="AP25" s="55">
        <f>BÖLCSŐDE!AP25+FALUHÁZ!AP25+ÓVODA!AP25+PMH!AP25+ÖNKORMÁNYZAT!AP25</f>
        <v>118422</v>
      </c>
      <c r="AQ25" s="55">
        <f>BÖLCSŐDE!AQ25+FALUHÁZ!AQ25+ÓVODA!AQ25+PMH!AQ25+ÖNKORMÁNYZAT!AQ25</f>
        <v>0</v>
      </c>
      <c r="AR25" s="55">
        <f t="shared" si="4"/>
        <v>118422</v>
      </c>
      <c r="AS25" s="54">
        <f t="shared" si="5"/>
        <v>0</v>
      </c>
      <c r="AT25" s="55">
        <f>BÖLCSŐDE!AT25+FALUHÁZ!AT25+ÓVODA!AT25+PMH!AT25+ÖNKORMÁNYZAT!AT25</f>
        <v>0</v>
      </c>
      <c r="AU25" s="55">
        <f t="shared" si="6"/>
        <v>118422</v>
      </c>
      <c r="AV25" s="54">
        <f t="shared" si="7"/>
        <v>100</v>
      </c>
      <c r="AW25" s="55">
        <f>BÖLCSŐDE!AW25+FALUHÁZ!AW25+ÓVODA!AW25+PMH!AW25+ÖNKORMÁNYZAT!AW25</f>
        <v>118422</v>
      </c>
      <c r="AX25" s="55">
        <f>BÖLCSŐDE!AX25+FALUHÁZ!AX25+ÓVODA!AX25+PMH!AX25+ÖNKORMÁNYZAT!AX25</f>
        <v>0</v>
      </c>
      <c r="AY25" s="55">
        <f>BÖLCSŐDE!AY25+FALUHÁZ!AY25+ÓVODA!AY25+PMH!AY25+ÖNKORMÁNYZAT!AY25</f>
        <v>0</v>
      </c>
      <c r="AZ25" s="55">
        <f>BÖLCSŐDE!AZ25+FALUHÁZ!AZ25+ÓVODA!AZ25+PMH!AZ25+ÖNKORMÁNYZAT!AZ25</f>
        <v>0</v>
      </c>
      <c r="BA25" s="55">
        <f>BÖLCSŐDE!BA25+FALUHÁZ!BA25+ÓVODA!BA25+PMH!BA25+ÖNKORMÁNYZAT!BA25</f>
        <v>0</v>
      </c>
      <c r="BB25" s="501">
        <f>BÖLCSŐDE!BB25+FALUHÁZ!BB25+ÓVODA!BB25+PMH!BB25+ÖNKORMÁNYZAT!BB25</f>
        <v>0</v>
      </c>
      <c r="BC25" s="501">
        <f>BÖLCSŐDE!BC25+FALUHÁZ!BC25+ÓVODA!BC25+PMH!BC25+ÖNKORMÁNYZAT!BC25</f>
        <v>0</v>
      </c>
      <c r="BD25" s="501">
        <f>BÖLCSŐDE!BD25+FALUHÁZ!BD25+ÓVODA!BD25+PMH!BD25+ÖNKORMÁNYZAT!BD25</f>
        <v>0</v>
      </c>
      <c r="BE25" s="501">
        <f>BÖLCSŐDE!BE25+FALUHÁZ!BE25+ÓVODA!BE25+PMH!BE25+ÖNKORMÁNYZAT!BE25</f>
        <v>0</v>
      </c>
      <c r="BF25" s="501">
        <f>BÖLCSŐDE!BF25+FALUHÁZ!BF25+ÓVODA!BF25+PMH!BF25+ÖNKORMÁNYZAT!BF25</f>
        <v>0</v>
      </c>
      <c r="BG25" s="383">
        <f>BÖLCSŐDE!BG25+FALUHÁZ!BG25+ÓVODA!BG25+PMH!BG25+ÖNKORMÁNYZAT!BG25</f>
        <v>0</v>
      </c>
      <c r="BH25" s="65">
        <f>BÖLCSŐDE!BH25+FALUHÁZ!BH25+ÓVODA!BH25+PMH!BH25+ÖNKORMÁNYZAT!BH25</f>
        <v>0</v>
      </c>
      <c r="BI25" s="65">
        <f>BÖLCSŐDE!BI25+FALUHÁZ!BI25+ÓVODA!BI25+PMH!BI25+ÖNKORMÁNYZAT!BI25</f>
        <v>0</v>
      </c>
      <c r="BJ25" s="65">
        <f>BÖLCSŐDE!BJ25+FALUHÁZ!BJ25+ÓVODA!BJ25+PMH!BJ25+ÖNKORMÁNYZAT!BJ25</f>
        <v>0</v>
      </c>
      <c r="BK25" s="65">
        <f>BÖLCSŐDE!BK25+FALUHÁZ!BK25+ÓVODA!BK25+PMH!BK25+ÖNKORMÁNYZAT!BK25</f>
        <v>0</v>
      </c>
      <c r="BL25" s="65">
        <f>BÖLCSŐDE!BL25+FALUHÁZ!BL25+ÓVODA!BL25+PMH!BL25+ÖNKORMÁNYZAT!BL25</f>
        <v>0</v>
      </c>
      <c r="BM25" s="65">
        <f>BÖLCSŐDE!BM25+FALUHÁZ!BM25+ÓVODA!BM25+PMH!BM25+ÖNKORMÁNYZAT!BM25</f>
        <v>0</v>
      </c>
      <c r="BN25" s="65">
        <f>BÖLCSŐDE!BN25+FALUHÁZ!BN25+ÓVODA!BN25+PMH!BN25+ÖNKORMÁNYZAT!BN25</f>
        <v>0</v>
      </c>
      <c r="BO25" s="65">
        <f>BÖLCSŐDE!BO25+FALUHÁZ!BO25+ÓVODA!BO25+PMH!BO25+ÖNKORMÁNYZAT!BO25</f>
        <v>0</v>
      </c>
      <c r="BP25" s="65">
        <f>BÖLCSŐDE!BP25+FALUHÁZ!BP25+ÓVODA!BP25+PMH!BP25+ÖNKORMÁNYZAT!BP25</f>
        <v>0</v>
      </c>
      <c r="BQ25" s="65">
        <f>BÖLCSŐDE!BQ25+FALUHÁZ!BQ25+ÓVODA!BQ25+PMH!BQ25+ÖNKORMÁNYZAT!BQ25</f>
        <v>0</v>
      </c>
      <c r="BR25" s="65">
        <f>BÖLCSŐDE!BR25+FALUHÁZ!BR25+ÓVODA!BR25+PMH!BR25+ÖNKORMÁNYZAT!BR25</f>
        <v>0</v>
      </c>
      <c r="BS25" s="65">
        <f>BÖLCSŐDE!BS25+FALUHÁZ!BS25+ÓVODA!BS25+PMH!BS25+ÖNKORMÁNYZAT!BS25</f>
        <v>0</v>
      </c>
      <c r="BT25" s="65">
        <f>BÖLCSŐDE!BT25+FALUHÁZ!BT25+ÓVODA!BT25+PMH!BT25+ÖNKORMÁNYZAT!BT25</f>
        <v>0</v>
      </c>
      <c r="BU25" s="65">
        <f>BÖLCSŐDE!BU25+FALUHÁZ!BU25+ÓVODA!BU25+PMH!BU25+ÖNKORMÁNYZAT!BU25</f>
        <v>0</v>
      </c>
      <c r="BV25" s="65">
        <f>BÖLCSŐDE!BV25+FALUHÁZ!BV25+ÓVODA!BV25+PMH!BV25+ÖNKORMÁNYZAT!BV25</f>
        <v>0</v>
      </c>
    </row>
    <row r="26" spans="1:74" x14ac:dyDescent="0.25">
      <c r="A26" s="54" t="s">
        <v>326</v>
      </c>
      <c r="B26" s="55" t="s">
        <v>327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O26" s="55">
        <f>BÖLCSŐDE!O26+FALUHÁZ!N26+ÓVODA!O26+PMH!O26+ÖNKORMÁNYZAT!O26</f>
        <v>0</v>
      </c>
      <c r="P26" s="55">
        <f>BÖLCSŐDE!P26+FALUHÁZ!O26+ÓVODA!P26+PMH!P26+ÖNKORMÁNYZAT!P26</f>
        <v>20000</v>
      </c>
      <c r="Q26" s="55">
        <f>BÖLCSŐDE!Q26+FALUHÁZ!P26+ÓVODA!Q26+PMH!Q26+ÖNKORMÁNYZAT!Q26</f>
        <v>163230</v>
      </c>
      <c r="R26" s="55">
        <f>BÖLCSŐDE!R26+FALUHÁZ!Q26+ÓVODA!R26+PMH!R26+ÖNKORMÁNYZAT!R26</f>
        <v>0</v>
      </c>
      <c r="S26" s="55">
        <f>BÖLCSŐDE!S26+FALUHÁZ!R26+ÓVODA!S26+PMH!S26+ÖNKORMÁNYZAT!S26</f>
        <v>0</v>
      </c>
      <c r="T26" s="55">
        <f>BÖLCSŐDE!T26+FALUHÁZ!S26+ÓVODA!T26+PMH!T26+ÖNKORMÁNYZAT!T26</f>
        <v>118630</v>
      </c>
      <c r="U26" s="55">
        <f>BÖLCSŐDE!U26+FALUHÁZ!T26+ÓVODA!U26+PMH!U26+ÖNKORMÁNYZAT!U26</f>
        <v>0</v>
      </c>
      <c r="V26" s="55">
        <f>BÖLCSŐDE!V26+FALUHÁZ!U26+ÓVODA!V26+PMH!V26+ÖNKORMÁNYZAT!V26</f>
        <v>0</v>
      </c>
      <c r="W26" s="55">
        <f>BÖLCSŐDE!W26+FALUHÁZ!V26+ÓVODA!W26+PMH!W26+ÖNKORMÁNYZAT!W26</f>
        <v>0</v>
      </c>
      <c r="X26" s="122"/>
      <c r="AA26" s="55">
        <f>BÖLCSŐDE!AA26+FALUHÁZ!Z26+ÓVODA!AA26+PMH!AA26+ÖNKORMÁNYZAT!AA26</f>
        <v>0</v>
      </c>
      <c r="AB26" s="55">
        <f>BÖLCSŐDE!AB26+FALUHÁZ!AA26+ÓVODA!AB26+PMH!AB26+ÖNKORMÁNYZAT!AB26</f>
        <v>23000</v>
      </c>
      <c r="AC26" s="55">
        <f>BÖLCSŐDE!AB26+FALUHÁZ!AA26+ÓVODA!AB26+PMH!AB26+ÖNKORMÁNYZAT!AB26</f>
        <v>23000</v>
      </c>
      <c r="AD26" s="55">
        <f>BÖLCSŐDE!AC26+FALUHÁZ!AB26+ÓVODA!AC26+PMH!AC26+ÖNKORMÁNYZAT!AC26</f>
        <v>53000</v>
      </c>
      <c r="AE26" s="223">
        <f>BÖLCSŐDE!AE26+FALUHÁZ!AD26+ÓVODA!AE26+PMH!AE26+ÖNKORMÁNYZAT!AD26</f>
        <v>53000</v>
      </c>
      <c r="AF26" s="122"/>
      <c r="AG26" s="55">
        <f>BÖLCSŐDE!AG26+FALUHÁZ!AG26+ÓVODA!AG26+PMH!AG26+ÖNKORMÁNYZAT!AG26</f>
        <v>109943</v>
      </c>
      <c r="AH26" s="55"/>
      <c r="AI26" s="55">
        <f>BÖLCSŐDE!AI26+FALUHÁZ!AJ26+ÓVODA!AI26+PMH!AI26+ÖNKORMÁNYZAT!AI26</f>
        <v>118422</v>
      </c>
      <c r="AJ26" s="55"/>
      <c r="AK26" s="55">
        <f>BÖLCSŐDE!AL26+FALUHÁZ!AK26+ÓVODA!AK26+PMH!AK26+ÖNKORMÁNYZAT!AK26</f>
        <v>118422</v>
      </c>
      <c r="AM26" s="55">
        <f>BÖLCSŐDE!AM26+FALUHÁZ!AM26+ÓVODA!AM26+PMH!AM26+ÖNKORMÁNYZAT!AM26</f>
        <v>109943</v>
      </c>
      <c r="AN26" s="55">
        <f>BÖLCSŐDE!AN26+FALUHÁZ!AN26+ÓVODA!AP26+PMH!AN26+ÖNKORMÁNYZAT!AP26</f>
        <v>0</v>
      </c>
      <c r="AO26" s="55">
        <f>BÖLCSŐDE!AO26+FALUHÁZ!AO26+ÓVODA!AQ26+PMH!AO26+ÖNKORMÁNYZAT!AQ26</f>
        <v>0</v>
      </c>
      <c r="AP26" s="55">
        <f>BÖLCSŐDE!AP26+FALUHÁZ!AP26+ÓVODA!AP26+PMH!AP26+ÖNKORMÁNYZAT!AP26</f>
        <v>0</v>
      </c>
      <c r="AQ26" s="55">
        <f>BÖLCSŐDE!AQ26+FALUHÁZ!AQ26+ÓVODA!AQ26+PMH!AQ26+ÖNKORMÁNYZAT!AQ26</f>
        <v>0</v>
      </c>
      <c r="AR26" s="55">
        <f t="shared" si="4"/>
        <v>0</v>
      </c>
      <c r="AS26" s="54"/>
      <c r="AT26" s="55">
        <f>BÖLCSŐDE!AT26+FALUHÁZ!AT26+ÓVODA!AT26+PMH!AT26+ÖNKORMÁNYZAT!AT26</f>
        <v>0</v>
      </c>
      <c r="AU26" s="55"/>
      <c r="AV26" s="54"/>
      <c r="AW26" s="55">
        <f>BÖLCSŐDE!AW26+FALUHÁZ!AW26+ÓVODA!AW26+PMH!AW26+ÖNKORMÁNYZAT!AW26</f>
        <v>0</v>
      </c>
      <c r="AX26" s="55">
        <f>BÖLCSŐDE!AX26+FALUHÁZ!AX26+ÓVODA!AX26+PMH!AX26+ÖNKORMÁNYZAT!AX26</f>
        <v>0</v>
      </c>
      <c r="AY26" s="55">
        <f>BÖLCSŐDE!AY26+FALUHÁZ!AY26+ÓVODA!AY26+PMH!AY26+ÖNKORMÁNYZAT!AY26</f>
        <v>0</v>
      </c>
      <c r="AZ26" s="55">
        <f>BÖLCSŐDE!AZ26+FALUHÁZ!AZ26+ÓVODA!AZ26+PMH!AZ26+ÖNKORMÁNYZAT!AZ26</f>
        <v>6000000</v>
      </c>
      <c r="BA26" s="55">
        <f>BÖLCSŐDE!BA26+FALUHÁZ!BA26+ÓVODA!BA26+PMH!BA26+ÖNKORMÁNYZAT!BA26</f>
        <v>6000000</v>
      </c>
      <c r="BB26" s="501">
        <f>BÖLCSŐDE!BB26+FALUHÁZ!BB26+ÓVODA!BB26+PMH!BB26+ÖNKORMÁNYZAT!BB26</f>
        <v>6000000</v>
      </c>
      <c r="BC26" s="501">
        <f>BÖLCSŐDE!BC26+FALUHÁZ!BC26+ÓVODA!BC26+PMH!BC26+ÖNKORMÁNYZAT!BC26</f>
        <v>6000000</v>
      </c>
      <c r="BD26" s="501">
        <f>BÖLCSŐDE!BD26+FALUHÁZ!BD26+ÓVODA!BD26+PMH!BD26+ÖNKORMÁNYZAT!BD26</f>
        <v>20000</v>
      </c>
      <c r="BE26" s="501">
        <f>BÖLCSŐDE!BE26+FALUHÁZ!BE26+ÓVODA!BE26+PMH!BE26+ÖNKORMÁNYZAT!BE26</f>
        <v>2020000</v>
      </c>
      <c r="BF26" s="501">
        <f>BÖLCSŐDE!BF26+FALUHÁZ!BF26+ÓVODA!BF26+PMH!BF26+ÖNKORMÁNYZAT!BF26</f>
        <v>2020000</v>
      </c>
      <c r="BG26" s="383">
        <f>BÖLCSŐDE!BG26+FALUHÁZ!BG26+ÓVODA!BG26+PMH!BG26+ÖNKORMÁNYZAT!BG26</f>
        <v>2024000</v>
      </c>
      <c r="BH26" s="65">
        <f>BÖLCSŐDE!BH26+FALUHÁZ!BH26+ÓVODA!BH26+PMH!BH26+ÖNKORMÁNYZAT!BH26</f>
        <v>1000000</v>
      </c>
      <c r="BI26" s="65">
        <f>BÖLCSŐDE!BI26+FALUHÁZ!BI26+ÓVODA!BI26+PMH!BI26+ÖNKORMÁNYZAT!BI26</f>
        <v>1000000</v>
      </c>
      <c r="BJ26" s="65">
        <f>BÖLCSŐDE!BJ26+FALUHÁZ!BJ26+ÓVODA!BJ26+PMH!BJ26+ÖNKORMÁNYZAT!BJ26</f>
        <v>0</v>
      </c>
      <c r="BK26" s="65">
        <f>BÖLCSŐDE!BK26+FALUHÁZ!BK26+ÓVODA!BK26+PMH!BK26+ÖNKORMÁNYZAT!BK26</f>
        <v>0</v>
      </c>
      <c r="BL26" s="65">
        <f>BÖLCSŐDE!BL26+FALUHÁZ!BL26+ÓVODA!BL26+PMH!BL26+ÖNKORMÁNYZAT!BL26</f>
        <v>0</v>
      </c>
      <c r="BM26" s="65">
        <f>BÖLCSŐDE!BM26+FALUHÁZ!BM26+ÓVODA!BM26+PMH!BM26+ÖNKORMÁNYZAT!BM26</f>
        <v>0</v>
      </c>
      <c r="BN26" s="65">
        <f>BÖLCSŐDE!BN26+FALUHÁZ!BN26+ÓVODA!BN26+PMH!BN26+ÖNKORMÁNYZAT!BN26</f>
        <v>0</v>
      </c>
      <c r="BO26" s="65">
        <f>BÖLCSŐDE!BO26+FALUHÁZ!BO26+ÓVODA!BO26+PMH!BO26+ÖNKORMÁNYZAT!BO26</f>
        <v>0</v>
      </c>
      <c r="BP26" s="65">
        <f>BÖLCSŐDE!BP26+FALUHÁZ!BP26+ÓVODA!BP26+PMH!BP26+ÖNKORMÁNYZAT!BP26</f>
        <v>0</v>
      </c>
      <c r="BQ26" s="65">
        <f>BÖLCSŐDE!BQ26+FALUHÁZ!BQ26+ÓVODA!BQ26+PMH!BQ26+ÖNKORMÁNYZAT!BQ26</f>
        <v>0</v>
      </c>
      <c r="BR26" s="65">
        <f>BÖLCSŐDE!BR26+FALUHÁZ!BR26+ÓVODA!BR26+PMH!BR26+ÖNKORMÁNYZAT!BR26</f>
        <v>0</v>
      </c>
      <c r="BS26" s="65">
        <f>BÖLCSŐDE!BS26+FALUHÁZ!BS26+ÓVODA!BS26+PMH!BS26+ÖNKORMÁNYZAT!BS26</f>
        <v>0</v>
      </c>
      <c r="BT26" s="65">
        <f>BÖLCSŐDE!BT26+FALUHÁZ!BT26+ÓVODA!BT26+PMH!BT26+ÖNKORMÁNYZAT!BT26</f>
        <v>0</v>
      </c>
      <c r="BU26" s="65">
        <f>BÖLCSŐDE!BU26+FALUHÁZ!BU26+ÓVODA!BU26+PMH!BU26+ÖNKORMÁNYZAT!BU26</f>
        <v>1400000</v>
      </c>
      <c r="BV26" s="65">
        <f>BÖLCSŐDE!BV26+FALUHÁZ!BV26+ÓVODA!BV26+PMH!BV26+ÖNKORMÁNYZAT!BV26</f>
        <v>2036002</v>
      </c>
    </row>
    <row r="27" spans="1:74" x14ac:dyDescent="0.25">
      <c r="A27" s="54" t="s">
        <v>247</v>
      </c>
      <c r="B27" s="55" t="s">
        <v>248</v>
      </c>
      <c r="C27" s="55"/>
      <c r="D27" s="55"/>
      <c r="E27" s="55"/>
      <c r="F27" s="55"/>
      <c r="G27" s="55">
        <f>BÖLCSŐDE!G27+FALUHÁZ!G27+ÓVODA!G27+PMH!G27+ÖNKORMÁNYZAT!G27</f>
        <v>0</v>
      </c>
      <c r="H27" s="55">
        <f>BÖLCSŐDE!H27+FALUHÁZ!H27+ÓVODA!H27+PMH!H27+ÖNKORMÁNYZAT!H27</f>
        <v>11083464</v>
      </c>
      <c r="I27" s="55">
        <f t="shared" si="0"/>
        <v>12091051.636363637</v>
      </c>
      <c r="J27" s="55">
        <v>0</v>
      </c>
      <c r="K27" s="55">
        <v>13010000</v>
      </c>
      <c r="L27" s="65">
        <f>BÖLCSŐDE!L27+FALUHÁZ!L27+ÓVODA!L27+PMH!L27+ÖNKORMÁNYZAT!L27</f>
        <v>13010000</v>
      </c>
      <c r="M27" s="1">
        <f t="shared" si="1"/>
        <v>107.60023520925708</v>
      </c>
      <c r="O27" s="55">
        <f>BÖLCSŐDE!O27+FALUHÁZ!N27+ÓVODA!O27+PMH!O27+ÖNKORMÁNYZAT!O27</f>
        <v>13010000</v>
      </c>
      <c r="P27" s="55">
        <f>BÖLCSŐDE!P27+FALUHÁZ!O27+ÓVODA!P27+PMH!P27+ÖNKORMÁNYZAT!P27</f>
        <v>34628345</v>
      </c>
      <c r="Q27" s="55">
        <f>BÖLCSŐDE!Q27+FALUHÁZ!P27+ÓVODA!Q27+PMH!Q27+ÖNKORMÁNYZAT!Q27</f>
        <v>35143306</v>
      </c>
      <c r="R27" s="55">
        <f>BÖLCSŐDE!R27+FALUHÁZ!Q27+ÓVODA!R27+PMH!R27+ÖNKORMÁNYZAT!R27</f>
        <v>13010000</v>
      </c>
      <c r="S27" s="55">
        <f>BÖLCSŐDE!S27+FALUHÁZ!R27+ÓVODA!S27+PMH!S27+ÖNKORMÁNYZAT!S27</f>
        <v>13010000</v>
      </c>
      <c r="T27" s="55">
        <f>BÖLCSŐDE!T27+FALUHÁZ!S27+ÓVODA!T27+PMH!T27+ÖNKORMÁNYZAT!T27</f>
        <v>47138582</v>
      </c>
      <c r="U27" s="55">
        <f>BÖLCSŐDE!U27+FALUHÁZ!T27+ÓVODA!U27+PMH!U27+ÖNKORMÁNYZAT!U27</f>
        <v>13010000</v>
      </c>
      <c r="V27" s="55">
        <f>BÖLCSŐDE!V27+FALUHÁZ!U27+ÓVODA!V27+PMH!V27+ÖNKORMÁNYZAT!V27</f>
        <v>146010000</v>
      </c>
      <c r="W27" s="55">
        <f>BÖLCSŐDE!W27+FALUHÁZ!V27+ÓVODA!W27+PMH!W27+ÖNKORMÁNYZAT!W27</f>
        <v>120000000</v>
      </c>
      <c r="X27" s="122">
        <f t="shared" si="2"/>
        <v>32.284488733648381</v>
      </c>
      <c r="AA27" s="55">
        <f>BÖLCSŐDE!AA27+FALUHÁZ!Z27+ÓVODA!AA27+PMH!AA27+ÖNKORMÁNYZAT!AA27</f>
        <v>120000000</v>
      </c>
      <c r="AB27" s="55">
        <f>BÖLCSŐDE!AB27+FALUHÁZ!AA27+ÓVODA!AB27+PMH!AB27+ÖNKORMÁNYZAT!AB27</f>
        <v>31807875</v>
      </c>
      <c r="AC27" s="55">
        <f>BÖLCSŐDE!AB27+FALUHÁZ!AA27+ÓVODA!AB27+PMH!AB27+ÖNKORMÁNYZAT!AB27</f>
        <v>31807875</v>
      </c>
      <c r="AD27" s="55">
        <f>BÖLCSŐDE!AC27+FALUHÁZ!AB27+ÓVODA!AC27+PMH!AC27+ÖNKORMÁNYZAT!AC27</f>
        <v>51739923</v>
      </c>
      <c r="AE27" s="223">
        <f>BÖLCSŐDE!AE27+FALUHÁZ!AD27+ÓVODA!AE27+PMH!AE27+ÖNKORMÁNYZAT!AD27</f>
        <v>53875356</v>
      </c>
      <c r="AF27" s="122">
        <f t="shared" si="3"/>
        <v>43.116602499999999</v>
      </c>
      <c r="AG27" s="55">
        <f>BÖLCSŐDE!AG27+FALUHÁZ!AG27+ÓVODA!AG27+PMH!AG27+ÖNKORMÁNYZAT!AG27</f>
        <v>59343073</v>
      </c>
      <c r="AH27" s="55"/>
      <c r="AI27" s="55">
        <f>BÖLCSŐDE!AI27+FALUHÁZ!AJ27+ÓVODA!AI27+PMH!AI27+ÖNKORMÁNYZAT!AI27</f>
        <v>53000000</v>
      </c>
      <c r="AJ27" s="55"/>
      <c r="AK27" s="55">
        <f>BÖLCSŐDE!AL27+FALUHÁZ!AK27+ÓVODA!AK27+PMH!AK27+ÖNKORMÁNYZAT!AK27</f>
        <v>53000000</v>
      </c>
      <c r="AM27" s="55">
        <f>BÖLCSŐDE!AM27+FALUHÁZ!AM27+ÓVODA!AM27+PMH!AM27+ÖNKORMÁNYZAT!AM27</f>
        <v>136064915</v>
      </c>
      <c r="AN27" s="55">
        <f>BÖLCSŐDE!AN27+FALUHÁZ!AN27+ÓVODA!AP27+PMH!AN27+ÖNKORMÁNYZAT!AP27</f>
        <v>53000000</v>
      </c>
      <c r="AO27" s="55">
        <f>BÖLCSŐDE!AO27+FALUHÁZ!AO27+ÓVODA!AQ27+PMH!AO27+ÖNKORMÁNYZAT!AQ27</f>
        <v>18356354</v>
      </c>
      <c r="AP27" s="55">
        <f>BÖLCSŐDE!AP27+FALUHÁZ!AP27+ÓVODA!AP27+PMH!AP27+ÖNKORMÁNYZAT!AP27</f>
        <v>53000000</v>
      </c>
      <c r="AQ27" s="55">
        <f>BÖLCSŐDE!AQ27+FALUHÁZ!AQ27+ÓVODA!AQ27+PMH!AQ27+ÖNKORMÁNYZAT!AQ27</f>
        <v>18356354</v>
      </c>
      <c r="AR27" s="55">
        <f t="shared" si="4"/>
        <v>34643646</v>
      </c>
      <c r="AS27" s="54">
        <f t="shared" si="5"/>
        <v>34.634630188679246</v>
      </c>
      <c r="AT27" s="55">
        <f>BÖLCSŐDE!AT27+FALUHÁZ!AT27+ÓVODA!AT27+PMH!AT27+ÖNKORMÁNYZAT!AT27</f>
        <v>23876039</v>
      </c>
      <c r="AU27" s="55">
        <f t="shared" si="6"/>
        <v>29123961</v>
      </c>
      <c r="AV27" s="54">
        <f t="shared" si="7"/>
        <v>54.950869811320757</v>
      </c>
      <c r="AW27" s="55">
        <f>BÖLCSŐDE!AW27+FALUHÁZ!AW27+ÓVODA!AW27+PMH!AW27+ÖNKORMÁNYZAT!AW27</f>
        <v>53000000</v>
      </c>
      <c r="AX27" s="55">
        <f>BÖLCSŐDE!AX27+FALUHÁZ!AX27+ÓVODA!AX27+PMH!AX27+ÖNKORMÁNYZAT!AX27</f>
        <v>100000000</v>
      </c>
      <c r="AY27" s="55">
        <f>BÖLCSŐDE!AY27+FALUHÁZ!AY27+ÓVODA!AY27+PMH!AY27+ÖNKORMÁNYZAT!AY27</f>
        <v>100000000</v>
      </c>
      <c r="AZ27" s="55">
        <f>BÖLCSŐDE!AZ27+FALUHÁZ!AZ27+ÓVODA!AZ27+PMH!AZ27+ÖNKORMÁNYZAT!AZ27</f>
        <v>100000000</v>
      </c>
      <c r="BA27" s="55">
        <f>BÖLCSŐDE!BA27+FALUHÁZ!BA27+ÓVODA!BA27+PMH!BA27+ÖNKORMÁNYZAT!BA27</f>
        <v>100000000</v>
      </c>
      <c r="BB27" s="501">
        <f>BÖLCSŐDE!BB27+FALUHÁZ!BB27+ÓVODA!BB27+PMH!BB27+ÖNKORMÁNYZAT!BB27</f>
        <v>100000000</v>
      </c>
      <c r="BC27" s="501">
        <f>BÖLCSŐDE!BC27+FALUHÁZ!BC27+ÓVODA!BC27+PMH!BC27+ÖNKORMÁNYZAT!BC27</f>
        <v>193800000</v>
      </c>
      <c r="BD27" s="501">
        <f>BÖLCSŐDE!BD27+FALUHÁZ!BD27+ÓVODA!BD27+PMH!BD27+ÖNKORMÁNYZAT!BD27</f>
        <v>135554803</v>
      </c>
      <c r="BE27" s="501">
        <f>BÖLCSŐDE!BE27+FALUHÁZ!BE27+ÓVODA!BE27+PMH!BE27+ÖNKORMÁNYZAT!BE27</f>
        <v>138745905</v>
      </c>
      <c r="BF27" s="501">
        <f>BÖLCSŐDE!BF27+FALUHÁZ!BF27+ÓVODA!BF27+PMH!BF27+ÖNKORMÁNYZAT!BF27</f>
        <v>138745905</v>
      </c>
      <c r="BG27" s="383">
        <f>BÖLCSŐDE!BG27+FALUHÁZ!BG27+ÓVODA!BG27+PMH!BG27+ÖNKORMÁNYZAT!BG27</f>
        <v>166495086</v>
      </c>
      <c r="BH27" s="65">
        <f>BÖLCSŐDE!BH27+FALUHÁZ!BH27+ÓVODA!BH27+PMH!BH27+ÖNKORMÁNYZAT!BH27</f>
        <v>25000000</v>
      </c>
      <c r="BI27" s="65">
        <f>BÖLCSŐDE!BI27+FALUHÁZ!BI27+ÓVODA!BI27+PMH!BI27+ÖNKORMÁNYZAT!BI27</f>
        <v>25000000</v>
      </c>
      <c r="BJ27" s="65">
        <f>BÖLCSŐDE!BJ27+FALUHÁZ!BJ27+ÓVODA!BJ27+PMH!BJ27+ÖNKORMÁNYZAT!BJ27</f>
        <v>7819939</v>
      </c>
      <c r="BK27" s="65">
        <f>BÖLCSŐDE!BK27+FALUHÁZ!BK27+ÓVODA!BK27+PMH!BK27+ÖNKORMÁNYZAT!BK27</f>
        <v>7819939</v>
      </c>
      <c r="BL27" s="65">
        <f>BÖLCSŐDE!BL27+FALUHÁZ!BL27+ÓVODA!BL27+PMH!BL27+ÖNKORMÁNYZAT!BL27</f>
        <v>0</v>
      </c>
      <c r="BM27" s="65">
        <f>BÖLCSŐDE!BM27+FALUHÁZ!BM27+ÓVODA!BM27+PMH!BM27+ÖNKORMÁNYZAT!BM27</f>
        <v>70000000</v>
      </c>
      <c r="BN27" s="65">
        <f>BÖLCSŐDE!BN27+FALUHÁZ!BN27+ÓVODA!BN27+PMH!BN27+ÖNKORMÁNYZAT!BN27</f>
        <v>70000000</v>
      </c>
      <c r="BO27" s="65">
        <f>BÖLCSŐDE!BO27+FALUHÁZ!BO27+ÓVODA!BO27+PMH!BO27+ÖNKORMÁNYZAT!BO27</f>
        <v>58269748</v>
      </c>
      <c r="BP27" s="65">
        <f>BÖLCSŐDE!BP27+FALUHÁZ!BP27+ÓVODA!BP27+PMH!BP27+ÖNKORMÁNYZAT!BP27</f>
        <v>58469748</v>
      </c>
      <c r="BQ27" s="65">
        <f>BÖLCSŐDE!BQ27+FALUHÁZ!BQ27+ÓVODA!BQ27+PMH!BQ27+ÖNKORMÁNYZAT!BQ27</f>
        <v>0</v>
      </c>
      <c r="BR27" s="65">
        <f>BÖLCSŐDE!BR27+FALUHÁZ!BR27+ÓVODA!BR27+PMH!BR27+ÖNKORMÁNYZAT!BR27</f>
        <v>0</v>
      </c>
      <c r="BS27" s="65">
        <f>BÖLCSŐDE!BS27+FALUHÁZ!BS27+ÓVODA!BS27+PMH!BS27+ÖNKORMÁNYZAT!BS27</f>
        <v>0</v>
      </c>
      <c r="BT27" s="65">
        <f>BÖLCSŐDE!BT27+FALUHÁZ!BT27+ÓVODA!BT27+PMH!BT27+ÖNKORMÁNYZAT!BT27</f>
        <v>50000000</v>
      </c>
      <c r="BU27" s="65">
        <f>BÖLCSŐDE!BU27+FALUHÁZ!BU27+ÓVODA!BU27+PMH!BU27+ÖNKORMÁNYZAT!BU27</f>
        <v>0</v>
      </c>
      <c r="BV27" s="65">
        <f>BÖLCSŐDE!BV27+FALUHÁZ!BV27+ÓVODA!BV27+PMH!BV27+ÖNKORMÁNYZAT!BV27</f>
        <v>0</v>
      </c>
    </row>
    <row r="28" spans="1:74" x14ac:dyDescent="0.25">
      <c r="A28" s="54" t="s">
        <v>249</v>
      </c>
      <c r="B28" s="55" t="s">
        <v>250</v>
      </c>
      <c r="C28" s="55"/>
      <c r="D28" s="55"/>
      <c r="E28" s="55"/>
      <c r="F28" s="55"/>
      <c r="G28" s="55">
        <f>BÖLCSŐDE!G28+FALUHÁZ!G28+ÓVODA!G28+PMH!G28+ÖNKORMÁNYZAT!G28</f>
        <v>0</v>
      </c>
      <c r="H28" s="55">
        <f>BÖLCSŐDE!H28+FALUHÁZ!H28+ÓVODA!H28+PMH!H28+ÖNKORMÁNYZAT!H28</f>
        <v>24618</v>
      </c>
      <c r="I28" s="55">
        <f t="shared" si="0"/>
        <v>26856</v>
      </c>
      <c r="J28" s="55">
        <v>0</v>
      </c>
      <c r="K28" s="55">
        <v>0</v>
      </c>
      <c r="L28" s="55">
        <f>BÖLCSŐDE!L28+FALUHÁZ!L28+ÓVODA!L28+PMH!L28+ÖNKORMÁNYZAT!L28</f>
        <v>0</v>
      </c>
      <c r="M28" s="1">
        <f t="shared" si="1"/>
        <v>0</v>
      </c>
      <c r="O28" s="55">
        <f>BÖLCSŐDE!O28+FALUHÁZ!N28+ÓVODA!O28+PMH!O28+ÖNKORMÁNYZAT!O28</f>
        <v>0</v>
      </c>
      <c r="P28" s="55">
        <f>BÖLCSŐDE!P28+FALUHÁZ!O28+ÓVODA!P28+PMH!P28+ÖNKORMÁNYZAT!P28</f>
        <v>0</v>
      </c>
      <c r="Q28" s="55">
        <f>BÖLCSŐDE!Q28+FALUHÁZ!P28+ÓVODA!Q28+PMH!Q28+ÖNKORMÁNYZAT!Q28</f>
        <v>0</v>
      </c>
      <c r="R28" s="55">
        <f>BÖLCSŐDE!R28+FALUHÁZ!Q28+ÓVODA!R28+PMH!R28+ÖNKORMÁNYZAT!R28</f>
        <v>0</v>
      </c>
      <c r="S28" s="55">
        <f>BÖLCSŐDE!S28+FALUHÁZ!R28+ÓVODA!S28+PMH!S28+ÖNKORMÁNYZAT!S28</f>
        <v>0</v>
      </c>
      <c r="T28" s="55">
        <f>BÖLCSŐDE!T28+FALUHÁZ!S28+ÓVODA!T28+PMH!T28+ÖNKORMÁNYZAT!T28</f>
        <v>0</v>
      </c>
      <c r="U28" s="55">
        <f>BÖLCSŐDE!U28+FALUHÁZ!T28+ÓVODA!U28+PMH!U28+ÖNKORMÁNYZAT!U28</f>
        <v>0</v>
      </c>
      <c r="V28" s="55">
        <f>BÖLCSŐDE!V28+FALUHÁZ!U28+ÓVODA!V28+PMH!V28+ÖNKORMÁNYZAT!V28</f>
        <v>0</v>
      </c>
      <c r="W28" s="55">
        <f>BÖLCSŐDE!W28+FALUHÁZ!V28+ÓVODA!W28+PMH!W28+ÖNKORMÁNYZAT!W28</f>
        <v>0</v>
      </c>
      <c r="X28" s="122"/>
      <c r="AA28" s="55">
        <f>BÖLCSŐDE!AA28+FALUHÁZ!Z28+ÓVODA!AA28+PMH!AA28+ÖNKORMÁNYZAT!AA28</f>
        <v>0</v>
      </c>
      <c r="AB28" s="55">
        <f>BÖLCSŐDE!AB28+FALUHÁZ!AA28+ÓVODA!AB28+PMH!AB28+ÖNKORMÁNYZAT!AB28</f>
        <v>0</v>
      </c>
      <c r="AC28" s="55">
        <f>BÖLCSŐDE!AB28+FALUHÁZ!AA28+ÓVODA!AB28+PMH!AB28+ÖNKORMÁNYZAT!AB28</f>
        <v>0</v>
      </c>
      <c r="AD28" s="55">
        <f>BÖLCSŐDE!AC28+FALUHÁZ!AB28+ÓVODA!AC28+PMH!AC28+ÖNKORMÁNYZAT!AC28</f>
        <v>4535433</v>
      </c>
      <c r="AE28" s="223">
        <f>BÖLCSŐDE!AE28+FALUHÁZ!AD28+ÓVODA!AE28+PMH!AE28+ÖNKORMÁNYZAT!AD28</f>
        <v>4535433</v>
      </c>
      <c r="AF28" s="122"/>
      <c r="AG28" s="55">
        <f>BÖLCSŐDE!AG28+FALUHÁZ!AG28+ÓVODA!AG28+PMH!AG28+ÖNKORMÁNYZAT!AG28</f>
        <v>4535433</v>
      </c>
      <c r="AH28" s="55"/>
      <c r="AI28" s="55">
        <f>BÖLCSŐDE!AI28+FALUHÁZ!AJ28+ÓVODA!AI28+PMH!AI28+ÖNKORMÁNYZAT!AI28</f>
        <v>5551369.9919999996</v>
      </c>
      <c r="AJ28" s="55"/>
      <c r="AK28" s="55">
        <f>BÖLCSŐDE!AL28+FALUHÁZ!AK28+ÓVODA!AK28+PMH!AK28+ÖNKORMÁNYZAT!AK28</f>
        <v>5551369.9919999996</v>
      </c>
      <c r="AM28" s="55">
        <f>BÖLCSŐDE!AM28+FALUHÁZ!AM28+ÓVODA!AM28+PMH!AM28+ÖNKORMÁNYZAT!AM28</f>
        <v>4535433</v>
      </c>
      <c r="AN28" s="55">
        <f>BÖLCSŐDE!AN28+FALUHÁZ!AN28+ÓVODA!AP28+PMH!AN28+ÖNKORMÁNYZAT!AP28</f>
        <v>5551370</v>
      </c>
      <c r="AO28" s="55">
        <f>BÖLCSŐDE!AO28+FALUHÁZ!AO28+ÓVODA!AQ28+PMH!AO28+ÖNKORMÁNYZAT!AQ28</f>
        <v>0</v>
      </c>
      <c r="AP28" s="55">
        <f>BÖLCSŐDE!AP28+FALUHÁZ!AP28+ÓVODA!AP28+PMH!AP28+ÖNKORMÁNYZAT!AP28</f>
        <v>5551370</v>
      </c>
      <c r="AQ28" s="55">
        <f>BÖLCSŐDE!AQ28+FALUHÁZ!AQ28+ÓVODA!AQ28+PMH!AQ28+ÖNKORMÁNYZAT!AQ28</f>
        <v>0</v>
      </c>
      <c r="AR28" s="55">
        <f t="shared" si="4"/>
        <v>5551370</v>
      </c>
      <c r="AS28" s="54">
        <f t="shared" si="5"/>
        <v>0</v>
      </c>
      <c r="AT28" s="55">
        <f>BÖLCSŐDE!AT28+FALUHÁZ!AT28+ÓVODA!AT28+PMH!AT28+ÖNKORMÁNYZAT!AT28</f>
        <v>0</v>
      </c>
      <c r="AU28" s="55">
        <f t="shared" si="6"/>
        <v>5551370</v>
      </c>
      <c r="AV28" s="54">
        <f t="shared" si="7"/>
        <v>100</v>
      </c>
      <c r="AW28" s="55">
        <f>BÖLCSŐDE!AW28+FALUHÁZ!AW28+ÓVODA!AW28+PMH!AW28+ÖNKORMÁNYZAT!AW28</f>
        <v>5551370</v>
      </c>
      <c r="AX28" s="55">
        <f>BÖLCSŐDE!AX28+FALUHÁZ!AX28+ÓVODA!AX28+PMH!AX28+ÖNKORMÁNYZAT!AX28</f>
        <v>1000000</v>
      </c>
      <c r="AY28" s="55">
        <f>BÖLCSŐDE!AY28+FALUHÁZ!AY28+ÓVODA!AY28+PMH!AY28+ÖNKORMÁNYZAT!AY28</f>
        <v>1000000</v>
      </c>
      <c r="AZ28" s="55">
        <f>BÖLCSŐDE!AZ28+FALUHÁZ!AZ28+ÓVODA!AZ28+PMH!AZ28+ÖNKORMÁNYZAT!AZ28</f>
        <v>1000000</v>
      </c>
      <c r="BA28" s="55">
        <f>BÖLCSŐDE!BA28+FALUHÁZ!BA28+ÓVODA!BA28+PMH!BA28+ÖNKORMÁNYZAT!BA28</f>
        <v>1000000</v>
      </c>
      <c r="BB28" s="501">
        <f>BÖLCSŐDE!BB28+FALUHÁZ!BB28+ÓVODA!BB28+PMH!BB28+ÖNKORMÁNYZAT!BB28</f>
        <v>1000000</v>
      </c>
      <c r="BC28" s="501">
        <f>BÖLCSŐDE!BC28+FALUHÁZ!BC28+ÓVODA!BC28+PMH!BC28+ÖNKORMÁNYZAT!BC28</f>
        <v>1000000</v>
      </c>
      <c r="BD28" s="501">
        <f>BÖLCSŐDE!BD28+FALUHÁZ!BD28+ÓVODA!BD28+PMH!BD28+ÖNKORMÁNYZAT!BD28</f>
        <v>905512</v>
      </c>
      <c r="BE28" s="501">
        <f>BÖLCSŐDE!BE28+FALUHÁZ!BE28+ÓVODA!BE28+PMH!BE28+ÖNKORMÁNYZAT!BE28</f>
        <v>905512</v>
      </c>
      <c r="BF28" s="501">
        <f>BÖLCSŐDE!BF28+FALUHÁZ!BF28+ÓVODA!BF28+PMH!BF28+ÖNKORMÁNYZAT!BF28</f>
        <v>905512</v>
      </c>
      <c r="BG28" s="383">
        <f>BÖLCSŐDE!BG28+FALUHÁZ!BG28+ÓVODA!BG28+PMH!BG28+ÖNKORMÁNYZAT!BG28</f>
        <v>1086614.3999999999</v>
      </c>
      <c r="BH28" s="65">
        <f>BÖLCSŐDE!BH28+FALUHÁZ!BH28+ÓVODA!BH28+PMH!BH28+ÖNKORMÁNYZAT!BH28</f>
        <v>500000</v>
      </c>
      <c r="BI28" s="65">
        <f>BÖLCSŐDE!BI28+FALUHÁZ!BI28+ÓVODA!BI28+PMH!BI28+ÖNKORMÁNYZAT!BI28</f>
        <v>500000</v>
      </c>
      <c r="BJ28" s="65">
        <f>BÖLCSŐDE!BJ28+FALUHÁZ!BJ28+ÓVODA!BJ28+PMH!BJ28+ÖNKORMÁNYZAT!BJ28</f>
        <v>0</v>
      </c>
      <c r="BK28" s="65">
        <f>BÖLCSŐDE!BK28+FALUHÁZ!BK28+ÓVODA!BK28+PMH!BK28+ÖNKORMÁNYZAT!BK28</f>
        <v>0</v>
      </c>
      <c r="BL28" s="65">
        <f>BÖLCSŐDE!BL28+FALUHÁZ!BL28+ÓVODA!BL28+PMH!BL28+ÖNKORMÁNYZAT!BL28</f>
        <v>0</v>
      </c>
      <c r="BM28" s="65">
        <f>BÖLCSŐDE!BM28+FALUHÁZ!BM28+ÓVODA!BM28+PMH!BM28+ÖNKORMÁNYZAT!BM28</f>
        <v>0</v>
      </c>
      <c r="BN28" s="65">
        <f>BÖLCSŐDE!BN28+FALUHÁZ!BN28+ÓVODA!BN28+PMH!BN28+ÖNKORMÁNYZAT!BN28</f>
        <v>0</v>
      </c>
      <c r="BO28" s="65">
        <f>BÖLCSŐDE!BO28+FALUHÁZ!BO28+ÓVODA!BO28+PMH!BO28+ÖNKORMÁNYZAT!BO28</f>
        <v>0</v>
      </c>
      <c r="BP28" s="65">
        <f>BÖLCSŐDE!BP28+FALUHÁZ!BP28+ÓVODA!BP28+PMH!BP28+ÖNKORMÁNYZAT!BP28</f>
        <v>0</v>
      </c>
      <c r="BQ28" s="65">
        <f>BÖLCSŐDE!BQ28+FALUHÁZ!BQ28+ÓVODA!BQ28+PMH!BQ28+ÖNKORMÁNYZAT!BQ28</f>
        <v>0</v>
      </c>
      <c r="BR28" s="65">
        <f>BÖLCSŐDE!BR28+FALUHÁZ!BR28+ÓVODA!BR28+PMH!BR28+ÖNKORMÁNYZAT!BR28</f>
        <v>0</v>
      </c>
      <c r="BS28" s="65">
        <f>BÖLCSŐDE!BS28+FALUHÁZ!BS28+ÓVODA!BS28+PMH!BS28+ÖNKORMÁNYZAT!BS28</f>
        <v>0</v>
      </c>
      <c r="BT28" s="65">
        <f>BÖLCSŐDE!BT28+FALUHÁZ!BT28+ÓVODA!BT28+PMH!BT28+ÖNKORMÁNYZAT!BT28</f>
        <v>0</v>
      </c>
      <c r="BU28" s="65">
        <f>BÖLCSŐDE!BU28+FALUHÁZ!BU28+ÓVODA!BU28+PMH!BU28+ÖNKORMÁNYZAT!BU28</f>
        <v>0</v>
      </c>
      <c r="BV28" s="65">
        <f>BÖLCSŐDE!BV28+FALUHÁZ!BV28+ÓVODA!BV28+PMH!BV28+ÖNKORMÁNYZAT!BV28</f>
        <v>0</v>
      </c>
    </row>
    <row r="29" spans="1:74" x14ac:dyDescent="0.25">
      <c r="A29" s="54" t="s">
        <v>251</v>
      </c>
      <c r="B29" s="55" t="s">
        <v>252</v>
      </c>
      <c r="C29" s="55"/>
      <c r="D29" s="55"/>
      <c r="E29" s="55"/>
      <c r="F29" s="55"/>
      <c r="G29" s="55">
        <f>BÖLCSŐDE!G29+FALUHÁZ!G29+ÓVODA!G29+PMH!G29+ÖNKORMÁNYZAT!G29</f>
        <v>0</v>
      </c>
      <c r="H29" s="55">
        <f>BÖLCSŐDE!H29+FALUHÁZ!H29+ÓVODA!H29+PMH!H29+ÖNKORMÁNYZAT!H29</f>
        <v>128333</v>
      </c>
      <c r="I29" s="55">
        <f t="shared" si="0"/>
        <v>139999.63636363635</v>
      </c>
      <c r="J29" s="55">
        <v>0</v>
      </c>
      <c r="K29" s="55">
        <v>0</v>
      </c>
      <c r="L29" s="55">
        <f>BÖLCSŐDE!L29+FALUHÁZ!L29+ÓVODA!L29+PMH!L29+ÖNKORMÁNYZAT!L29</f>
        <v>0</v>
      </c>
      <c r="M29" s="1">
        <f t="shared" si="1"/>
        <v>0</v>
      </c>
      <c r="O29" s="55">
        <f>BÖLCSŐDE!O29+FALUHÁZ!N29+ÓVODA!O29+PMH!O29+ÖNKORMÁNYZAT!O29</f>
        <v>0</v>
      </c>
      <c r="P29" s="55">
        <f>BÖLCSŐDE!P29+FALUHÁZ!O29+ÓVODA!P29+PMH!P29+ÖNKORMÁNYZAT!P29</f>
        <v>56668</v>
      </c>
      <c r="Q29" s="55">
        <f>BÖLCSŐDE!Q29+FALUHÁZ!P29+ÓVODA!Q29+PMH!Q29+ÖNKORMÁNYZAT!Q29</f>
        <v>75001</v>
      </c>
      <c r="R29" s="55">
        <f>BÖLCSŐDE!R29+FALUHÁZ!Q29+ÓVODA!R29+PMH!R29+ÖNKORMÁNYZAT!R29</f>
        <v>0</v>
      </c>
      <c r="S29" s="55">
        <f>BÖLCSŐDE!S29+FALUHÁZ!R29+ÓVODA!S29+PMH!S29+ÖNKORMÁNYZAT!S29</f>
        <v>0</v>
      </c>
      <c r="T29" s="55">
        <f>BÖLCSŐDE!T29+FALUHÁZ!S29+ÓVODA!T29+PMH!T29+ÖNKORMÁNYZAT!T29</f>
        <v>83334</v>
      </c>
      <c r="U29" s="55">
        <f>BÖLCSŐDE!U29+FALUHÁZ!T29+ÓVODA!U29+PMH!U29+ÖNKORMÁNYZAT!U29</f>
        <v>0</v>
      </c>
      <c r="V29" s="55">
        <f>BÖLCSŐDE!V29+FALUHÁZ!U29+ÓVODA!V29+PMH!V29+ÖNKORMÁNYZAT!V29</f>
        <v>0</v>
      </c>
      <c r="W29" s="55">
        <f>BÖLCSŐDE!W29+FALUHÁZ!V29+ÓVODA!W29+PMH!W29+ÖNKORMÁNYZAT!W29</f>
        <v>0</v>
      </c>
      <c r="X29" s="122"/>
      <c r="AA29" s="55">
        <f>BÖLCSŐDE!AA29+FALUHÁZ!Z29+ÓVODA!AA29+PMH!AA29+ÖNKORMÁNYZAT!AA29</f>
        <v>0</v>
      </c>
      <c r="AB29" s="55">
        <f>BÖLCSŐDE!AB29+FALUHÁZ!AA29+ÓVODA!AB29+PMH!AB29+ÖNKORMÁNYZAT!AB29</f>
        <v>83334</v>
      </c>
      <c r="AC29" s="55">
        <f>BÖLCSŐDE!AB29+FALUHÁZ!AA29+ÓVODA!AB29+PMH!AB29+ÖNKORMÁNYZAT!AB29</f>
        <v>83334</v>
      </c>
      <c r="AD29" s="55">
        <f>BÖLCSŐDE!AC29+FALUHÁZ!AB29+ÓVODA!AC29+PMH!AC29+ÖNKORMÁNYZAT!AC29</f>
        <v>100004</v>
      </c>
      <c r="AE29" s="223">
        <f>BÖLCSŐDE!AE29+FALUHÁZ!AD29+ÓVODA!AE29+PMH!AE29+ÖNKORMÁNYZAT!AD29</f>
        <v>100004</v>
      </c>
      <c r="AF29" s="122"/>
      <c r="AG29" s="55">
        <f>BÖLCSŐDE!AG29+FALUHÁZ!AG29+ÓVODA!AG29+PMH!AG29+ÖNKORMÁNYZAT!AG29</f>
        <v>100004</v>
      </c>
      <c r="AH29" s="55"/>
      <c r="AI29" s="55">
        <f>BÖLCSŐDE!AI29+FALUHÁZ!AJ29+ÓVODA!AI29+PMH!AI29+ÖNKORMÁNYZAT!AI29</f>
        <v>122404.89599999999</v>
      </c>
      <c r="AJ29" s="55"/>
      <c r="AK29" s="55">
        <f>BÖLCSŐDE!AL29+FALUHÁZ!AK29+ÓVODA!AK29+PMH!AK29+ÖNKORMÁNYZAT!AK29</f>
        <v>122404.89599999999</v>
      </c>
      <c r="AM29" s="55">
        <f>BÖLCSŐDE!AM29+FALUHÁZ!AM29+ÓVODA!AM29+PMH!AM29+ÖNKORMÁNYZAT!AM29</f>
        <v>100004</v>
      </c>
      <c r="AN29" s="55">
        <f>BÖLCSŐDE!AN29+FALUHÁZ!AN29+ÓVODA!AP29+PMH!AN29+ÖNKORMÁNYZAT!AP29</f>
        <v>122405</v>
      </c>
      <c r="AO29" s="55">
        <f>BÖLCSŐDE!AO29+FALUHÁZ!AO29+ÓVODA!AQ29+PMH!AO29+ÖNKORMÁNYZAT!AQ29</f>
        <v>50000</v>
      </c>
      <c r="AP29" s="55">
        <f>BÖLCSŐDE!AP29+FALUHÁZ!AP29+ÓVODA!AP29+PMH!AP29+ÖNKORMÁNYZAT!AP29</f>
        <v>122405</v>
      </c>
      <c r="AQ29" s="55">
        <f>BÖLCSŐDE!AQ29+FALUHÁZ!AQ29+ÓVODA!AQ29+PMH!AQ29+ÖNKORMÁNYZAT!AQ29</f>
        <v>50000</v>
      </c>
      <c r="AR29" s="55">
        <f t="shared" si="4"/>
        <v>72405</v>
      </c>
      <c r="AS29" s="54">
        <f t="shared" si="5"/>
        <v>40.848004574976507</v>
      </c>
      <c r="AT29" s="55">
        <f>BÖLCSŐDE!AT29+FALUHÁZ!AT29+ÓVODA!AT29+PMH!AT29+ÖNKORMÁNYZAT!AT29</f>
        <v>50000</v>
      </c>
      <c r="AU29" s="55">
        <f t="shared" si="6"/>
        <v>72405</v>
      </c>
      <c r="AV29" s="54">
        <f t="shared" si="7"/>
        <v>59.151995425023486</v>
      </c>
      <c r="AW29" s="55">
        <f>BÖLCSŐDE!AW29+FALUHÁZ!AW29+ÓVODA!AW29+PMH!AW29+ÖNKORMÁNYZAT!AW29</f>
        <v>122405</v>
      </c>
      <c r="AX29" s="55">
        <f>BÖLCSŐDE!AX29+FALUHÁZ!AX29+ÓVODA!AX29+PMH!AX29+ÖNKORMÁNYZAT!AX29</f>
        <v>122405</v>
      </c>
      <c r="AY29" s="55">
        <f>BÖLCSŐDE!AY29+FALUHÁZ!AY29+ÓVODA!AY29+PMH!AY29+ÖNKORMÁNYZAT!AY29</f>
        <v>122405</v>
      </c>
      <c r="AZ29" s="55">
        <f>BÖLCSŐDE!AZ29+FALUHÁZ!AZ29+ÓVODA!AZ29+PMH!AZ29+ÖNKORMÁNYZAT!AZ29</f>
        <v>122405</v>
      </c>
      <c r="BA29" s="55">
        <f>BÖLCSŐDE!BA29+FALUHÁZ!BA29+ÓVODA!BA29+PMH!BA29+ÖNKORMÁNYZAT!BA29</f>
        <v>122405</v>
      </c>
      <c r="BB29" s="501">
        <f>BÖLCSŐDE!BB29+FALUHÁZ!BB29+ÓVODA!BB29+PMH!BB29+ÖNKORMÁNYZAT!BB29</f>
        <v>122405</v>
      </c>
      <c r="BC29" s="501">
        <f>BÖLCSŐDE!BC29+FALUHÁZ!BC29+ÓVODA!BC29+PMH!BC29+ÖNKORMÁNYZAT!BC29</f>
        <v>122405</v>
      </c>
      <c r="BD29" s="501">
        <f>BÖLCSŐDE!BD29+FALUHÁZ!BD29+ÓVODA!BD29+PMH!BD29+ÖNKORMÁNYZAT!BD29</f>
        <v>0</v>
      </c>
      <c r="BE29" s="501">
        <f>BÖLCSŐDE!BE29+FALUHÁZ!BE29+ÓVODA!BE29+PMH!BE29+ÖNKORMÁNYZAT!BE29</f>
        <v>10000</v>
      </c>
      <c r="BF29" s="501">
        <f>BÖLCSŐDE!BF29+FALUHÁZ!BF29+ÓVODA!BF29+PMH!BF29+ÖNKORMÁNYZAT!BF29</f>
        <v>45000</v>
      </c>
      <c r="BG29" s="383">
        <f>BÖLCSŐDE!BG29+FALUHÁZ!BG29+ÓVODA!BG29+PMH!BG29+ÖNKORMÁNYZAT!BG29</f>
        <v>54000</v>
      </c>
      <c r="BH29" s="65">
        <f>BÖLCSŐDE!BH29+FALUHÁZ!BH29+ÓVODA!BH29+PMH!BH29+ÖNKORMÁNYZAT!BH29</f>
        <v>100000</v>
      </c>
      <c r="BI29" s="65">
        <f>BÖLCSŐDE!BI29+FALUHÁZ!BI29+ÓVODA!BI29+PMH!BI29+ÖNKORMÁNYZAT!BI29</f>
        <v>200000</v>
      </c>
      <c r="BJ29" s="65">
        <f>BÖLCSŐDE!BJ29+FALUHÁZ!BJ29+ÓVODA!BJ29+PMH!BJ29+ÖNKORMÁNYZAT!BJ29</f>
        <v>160000</v>
      </c>
      <c r="BK29" s="65">
        <f>BÖLCSŐDE!BK29+FALUHÁZ!BK29+ÓVODA!BK29+PMH!BK29+ÖNKORMÁNYZAT!BK29</f>
        <v>160000</v>
      </c>
      <c r="BL29" s="65">
        <f>BÖLCSŐDE!BL29+FALUHÁZ!BL29+ÓVODA!BL29+PMH!BL29+ÖNKORMÁNYZAT!BL29</f>
        <v>200000</v>
      </c>
      <c r="BM29" s="65">
        <f>BÖLCSŐDE!BM29+FALUHÁZ!BM29+ÓVODA!BM29+PMH!BM29+ÖNKORMÁNYZAT!BM29</f>
        <v>200000</v>
      </c>
      <c r="BN29" s="65">
        <f>BÖLCSŐDE!BN29+FALUHÁZ!BN29+ÓVODA!BN29+PMH!BN29+ÖNKORMÁNYZAT!BN29</f>
        <v>200000</v>
      </c>
      <c r="BO29" s="65">
        <f>BÖLCSŐDE!BO29+FALUHÁZ!BO29+ÓVODA!BO29+PMH!BO29+ÖNKORMÁNYZAT!BO29</f>
        <v>0</v>
      </c>
      <c r="BP29" s="65">
        <f>BÖLCSŐDE!BP29+FALUHÁZ!BP29+ÓVODA!BP29+PMH!BP29+ÖNKORMÁNYZAT!BP29</f>
        <v>0</v>
      </c>
      <c r="BQ29" s="65">
        <f>BÖLCSŐDE!BQ29+FALUHÁZ!BQ29+ÓVODA!BQ29+PMH!BQ29+ÖNKORMÁNYZAT!BQ29</f>
        <v>0</v>
      </c>
      <c r="BR29" s="65">
        <f>BÖLCSŐDE!BR29+FALUHÁZ!BR29+ÓVODA!BR29+PMH!BR29+ÖNKORMÁNYZAT!BR29</f>
        <v>0</v>
      </c>
      <c r="BS29" s="65">
        <f>BÖLCSŐDE!BS29+FALUHÁZ!BS29+ÓVODA!BS29+PMH!BS29+ÖNKORMÁNYZAT!BS29</f>
        <v>0</v>
      </c>
      <c r="BT29" s="65">
        <f>BÖLCSŐDE!BT29+FALUHÁZ!BT29+ÓVODA!BT29+PMH!BT29+ÖNKORMÁNYZAT!BT29</f>
        <v>0</v>
      </c>
      <c r="BU29" s="65">
        <f>BÖLCSŐDE!BU29+FALUHÁZ!BU29+ÓVODA!BU29+PMH!BU29+ÖNKORMÁNYZAT!BU29</f>
        <v>0</v>
      </c>
      <c r="BV29" s="65">
        <f>BÖLCSŐDE!BV29+FALUHÁZ!BV29+ÓVODA!BV29+PMH!BV29+ÖNKORMÁNYZAT!BV29</f>
        <v>0</v>
      </c>
    </row>
    <row r="30" spans="1:74" x14ac:dyDescent="0.25">
      <c r="A30" s="54" t="s">
        <v>235</v>
      </c>
      <c r="B30" s="55" t="s">
        <v>236</v>
      </c>
      <c r="C30" s="55"/>
      <c r="D30" s="55"/>
      <c r="E30" s="55"/>
      <c r="F30" s="55"/>
      <c r="G30" s="55">
        <f>BÖLCSŐDE!G30+FALUHÁZ!G30+ÓVODA!G30+PMH!G30+ÖNKORMÁNYZAT!G30</f>
        <v>1115040</v>
      </c>
      <c r="H30" s="55">
        <f>BÖLCSŐDE!H30+FALUHÁZ!H30+ÓVODA!H30+PMH!H30+ÖNKORMÁNYZAT!H30</f>
        <v>1891957</v>
      </c>
      <c r="I30" s="55">
        <f t="shared" si="0"/>
        <v>2063953.0909090908</v>
      </c>
      <c r="J30" s="55">
        <v>0</v>
      </c>
      <c r="K30" s="55">
        <v>0</v>
      </c>
      <c r="L30" s="55">
        <f>BÖLCSŐDE!L30+FALUHÁZ!L30+ÓVODA!L30+PMH!L30+ÖNKORMÁNYZAT!L30</f>
        <v>0</v>
      </c>
      <c r="M30" s="1">
        <f t="shared" si="1"/>
        <v>0</v>
      </c>
      <c r="O30" s="55">
        <f>BÖLCSŐDE!O30+FALUHÁZ!N30+ÓVODA!O30+PMH!O30+ÖNKORMÁNYZAT!O30</f>
        <v>0</v>
      </c>
      <c r="P30" s="55">
        <f>BÖLCSŐDE!P30+FALUHÁZ!O30+ÓVODA!P30+PMH!P30+ÖNKORMÁNYZAT!P30</f>
        <v>102035919</v>
      </c>
      <c r="Q30" s="55">
        <f>BÖLCSŐDE!Q30+FALUHÁZ!P30+ÓVODA!Q30+PMH!Q30+ÖNKORMÁNYZAT!Q30</f>
        <v>102065919</v>
      </c>
      <c r="R30" s="55">
        <f>BÖLCSŐDE!R30+FALUHÁZ!Q30+ÓVODA!R30+PMH!R30+ÖNKORMÁNYZAT!R30</f>
        <v>0</v>
      </c>
      <c r="S30" s="55">
        <f>BÖLCSŐDE!S30+FALUHÁZ!R30+ÓVODA!S30+PMH!S30+ÖNKORMÁNYZAT!S30</f>
        <v>0</v>
      </c>
      <c r="T30" s="55">
        <f>BÖLCSŐDE!T30+FALUHÁZ!S30+ÓVODA!T30+PMH!T30+ÖNKORMÁNYZAT!T30</f>
        <v>102118419</v>
      </c>
      <c r="U30" s="55">
        <f>BÖLCSŐDE!U30+FALUHÁZ!T30+ÓVODA!U30+PMH!U30+ÖNKORMÁNYZAT!U30</f>
        <v>82528772</v>
      </c>
      <c r="V30" s="55">
        <f>BÖLCSŐDE!V30+FALUHÁZ!U30+ÓVODA!V30+PMH!V30+ÖNKORMÁNYZAT!V30</f>
        <v>82528772</v>
      </c>
      <c r="W30" s="55">
        <f>BÖLCSŐDE!W30+FALUHÁZ!V30+ÓVODA!W30+PMH!W30+ÖNKORMÁNYZAT!W30</f>
        <v>82528772</v>
      </c>
      <c r="X30" s="122">
        <f t="shared" si="2"/>
        <v>123.73674843968357</v>
      </c>
      <c r="AA30" s="55">
        <f>BÖLCSŐDE!AA30+FALUHÁZ!Z30+ÓVODA!AA30+PMH!AA30+ÖNKORMÁNYZAT!AA30</f>
        <v>156223963</v>
      </c>
      <c r="AB30" s="55">
        <f>BÖLCSŐDE!AB30+FALUHÁZ!AA30+ÓVODA!AB30+PMH!AB30+ÖNKORMÁNYZAT!AB30</f>
        <v>195255</v>
      </c>
      <c r="AC30" s="55">
        <f>BÖLCSŐDE!AB30+FALUHÁZ!AA30+ÓVODA!AB30+PMH!AB30+ÖNKORMÁNYZAT!AB30</f>
        <v>195255</v>
      </c>
      <c r="AD30" s="55">
        <f>BÖLCSŐDE!AC30+FALUHÁZ!AB30+ÓVODA!AC30+PMH!AC30+ÖNKORMÁNYZAT!AC30</f>
        <v>59969933</v>
      </c>
      <c r="AE30" s="223">
        <f>BÖLCSŐDE!AE30+FALUHÁZ!AD30+ÓVODA!AE30+PMH!AE30+ÖNKORMÁNYZAT!AD30</f>
        <v>59774933</v>
      </c>
      <c r="AF30" s="122">
        <f t="shared" si="3"/>
        <v>38.387153832475754</v>
      </c>
      <c r="AG30" s="55">
        <f>BÖLCSŐDE!AG30+FALUHÁZ!AG30+ÓVODA!AG30+PMH!AG30+ÖNKORMÁNYZAT!AG30</f>
        <v>60038933</v>
      </c>
      <c r="AH30" s="55"/>
      <c r="AI30" s="55">
        <f>BÖLCSŐDE!AI30+FALUHÁZ!AJ30+ÓVODA!AI30+PMH!AI30+ÖNKORMÁNYZAT!AI30</f>
        <v>148652222</v>
      </c>
      <c r="AJ30" s="55"/>
      <c r="AK30" s="55">
        <f>BÖLCSŐDE!AL30+FALUHÁZ!AK30+ÓVODA!AK30+PMH!AK30+ÖNKORMÁNYZAT!AK30</f>
        <v>148652222</v>
      </c>
      <c r="AM30" s="55">
        <f>BÖLCSŐDE!AM30+FALUHÁZ!AM30+ÓVODA!AM30+PMH!AM30+ÖNKORMÁNYZAT!AM30</f>
        <v>63704726</v>
      </c>
      <c r="AN30" s="55">
        <f>BÖLCSŐDE!AN30+FALUHÁZ!AN30+ÓVODA!AP30+PMH!AN30+ÖNKORMÁNYZAT!AP30</f>
        <v>195203308</v>
      </c>
      <c r="AO30" s="55">
        <f>BÖLCSŐDE!AO30+FALUHÁZ!AO30+ÓVODA!AQ30+PMH!AO30+ÖNKORMÁNYZAT!AQ30</f>
        <v>46934880</v>
      </c>
      <c r="AP30" s="55">
        <f>BÖLCSŐDE!AP30+FALUHÁZ!AP30+ÓVODA!AP30+PMH!AP30+ÖNKORMÁNYZAT!AP30</f>
        <v>195203308</v>
      </c>
      <c r="AQ30" s="55">
        <f>BÖLCSŐDE!AQ30+FALUHÁZ!AQ30+ÓVODA!AQ30+PMH!AQ30+ÖNKORMÁNYZAT!AQ30</f>
        <v>46934880</v>
      </c>
      <c r="AR30" s="55">
        <f t="shared" si="4"/>
        <v>148268428</v>
      </c>
      <c r="AS30" s="54">
        <f t="shared" si="5"/>
        <v>24.044100728047088</v>
      </c>
      <c r="AT30" s="55">
        <f>BÖLCSŐDE!AT30+FALUHÁZ!AT30+ÓVODA!AT30+PMH!AT30+ÖNKORMÁNYZAT!AT30</f>
        <v>46939880</v>
      </c>
      <c r="AU30" s="55">
        <f t="shared" si="6"/>
        <v>148263428</v>
      </c>
      <c r="AV30" s="54">
        <f t="shared" si="7"/>
        <v>75.953337839950947</v>
      </c>
      <c r="AW30" s="55">
        <f>BÖLCSŐDE!AW30+FALUHÁZ!AW30+ÓVODA!AW30+PMH!AW30+ÖNKORMÁNYZAT!AW30</f>
        <v>195203308</v>
      </c>
      <c r="AX30" s="55">
        <f>BÖLCSŐDE!AX30+FALUHÁZ!AX30+ÓVODA!AX30+PMH!AX30+ÖNKORMÁNYZAT!AX30</f>
        <v>40000000</v>
      </c>
      <c r="AY30" s="55">
        <f>BÖLCSŐDE!AY30+FALUHÁZ!AY30+ÓVODA!AY30+PMH!AY30+ÖNKORMÁNYZAT!AY30</f>
        <v>60000000</v>
      </c>
      <c r="AZ30" s="55">
        <f>BÖLCSŐDE!AZ30+FALUHÁZ!AZ30+ÓVODA!AZ30+PMH!AZ30+ÖNKORMÁNYZAT!AZ30</f>
        <v>60000000</v>
      </c>
      <c r="BA30" s="55">
        <f>BÖLCSŐDE!BA30+FALUHÁZ!BA30+ÓVODA!BA30+PMH!BA30+ÖNKORMÁNYZAT!BA30</f>
        <v>60000000</v>
      </c>
      <c r="BB30" s="501">
        <f>BÖLCSŐDE!BB30+FALUHÁZ!BB30+ÓVODA!BB30+PMH!BB30+ÖNKORMÁNYZAT!BB30</f>
        <v>60000000</v>
      </c>
      <c r="BC30" s="501">
        <f>BÖLCSŐDE!BC30+FALUHÁZ!BC30+ÓVODA!BC30+PMH!BC30+ÖNKORMÁNYZAT!BC30</f>
        <v>60000000</v>
      </c>
      <c r="BD30" s="501">
        <f>BÖLCSŐDE!BD30+FALUHÁZ!BD30+ÓVODA!BD30+PMH!BD30+ÖNKORMÁNYZAT!BD30</f>
        <v>35000</v>
      </c>
      <c r="BE30" s="501">
        <f>BÖLCSŐDE!BE30+FALUHÁZ!BE30+ÓVODA!BE30+PMH!BE30+ÖNKORMÁNYZAT!BE30</f>
        <v>45000</v>
      </c>
      <c r="BF30" s="501">
        <f>BÖLCSŐDE!BF30+FALUHÁZ!BF30+ÓVODA!BF30+PMH!BF30+ÖNKORMÁNYZAT!BF30</f>
        <v>50000</v>
      </c>
      <c r="BG30" s="383">
        <f>BÖLCSŐDE!BG30+FALUHÁZ!BG30+ÓVODA!BG30+PMH!BG30+ÖNKORMÁNYZAT!BG30</f>
        <v>60000</v>
      </c>
      <c r="BH30" s="65">
        <f>BÖLCSŐDE!BH30+FALUHÁZ!BH30+ÓVODA!BH30+PMH!BH30+ÖNKORMÁNYZAT!BH30</f>
        <v>60000000</v>
      </c>
      <c r="BI30" s="65">
        <f>BÖLCSŐDE!BI30+FALUHÁZ!BI30+ÓVODA!BI30+PMH!BI30+ÖNKORMÁNYZAT!BI30</f>
        <v>98482720</v>
      </c>
      <c r="BJ30" s="65">
        <f>BÖLCSŐDE!BJ30+FALUHÁZ!BJ30+ÓVODA!BJ30+PMH!BJ30+ÖNKORMÁNYZAT!BJ30</f>
        <v>34902098</v>
      </c>
      <c r="BK30" s="65">
        <f>BÖLCSŐDE!BK30+FALUHÁZ!BK30+ÓVODA!BK30+PMH!BK30+ÖNKORMÁNYZAT!BK30</f>
        <v>100311114</v>
      </c>
      <c r="BL30" s="65">
        <f>BÖLCSŐDE!BL30+FALUHÁZ!BL30+ÓVODA!BL30+PMH!BL30+ÖNKORMÁNYZAT!BL30</f>
        <v>38000000</v>
      </c>
      <c r="BM30" s="65">
        <f>BÖLCSŐDE!BM30+FALUHÁZ!BM30+ÓVODA!BM30+PMH!BM30+ÖNKORMÁNYZAT!BM30</f>
        <v>38000000</v>
      </c>
      <c r="BN30" s="65">
        <f>BÖLCSŐDE!BN30+FALUHÁZ!BN30+ÓVODA!BN30+PMH!BN30+ÖNKORMÁNYZAT!BN30</f>
        <v>38000000</v>
      </c>
      <c r="BO30" s="65">
        <f>BÖLCSŐDE!BO30+FALUHÁZ!BO30+ÓVODA!BO30+PMH!BO30+ÖNKORMÁNYZAT!BO30</f>
        <v>218095</v>
      </c>
      <c r="BP30" s="65">
        <f>BÖLCSŐDE!BP30+FALUHÁZ!BP30+ÓVODA!BP30+PMH!BP30+ÖNKORMÁNYZAT!BP30</f>
        <v>261714</v>
      </c>
      <c r="BQ30" s="65">
        <f>BÖLCSŐDE!BQ30+FALUHÁZ!BQ30+ÓVODA!BQ30+PMH!BQ30+ÖNKORMÁNYZAT!BQ30</f>
        <v>0</v>
      </c>
      <c r="BR30" s="65">
        <f>BÖLCSŐDE!BR30+FALUHÁZ!BR30+ÓVODA!BR30+PMH!BR30+ÖNKORMÁNYZAT!BR30</f>
        <v>0</v>
      </c>
      <c r="BS30" s="65">
        <f>BÖLCSŐDE!BS30+FALUHÁZ!BS30+ÓVODA!BS30+PMH!BS30+ÖNKORMÁNYZAT!BS30</f>
        <v>20000000</v>
      </c>
      <c r="BT30" s="65">
        <f>BÖLCSŐDE!BT30+FALUHÁZ!BT30+ÓVODA!BT30+PMH!BT30+ÖNKORMÁNYZAT!BT30</f>
        <v>40000000</v>
      </c>
      <c r="BU30" s="65">
        <f>BÖLCSŐDE!BU30+FALUHÁZ!BU30+ÓVODA!BU30+PMH!BU30+ÖNKORMÁNYZAT!BU30</f>
        <v>186699156</v>
      </c>
      <c r="BV30" s="65">
        <f>BÖLCSŐDE!BV30+FALUHÁZ!BV30+ÓVODA!BV30+PMH!BV30+ÖNKORMÁNYZAT!BV30</f>
        <v>0</v>
      </c>
    </row>
    <row r="31" spans="1:74" x14ac:dyDescent="0.25">
      <c r="A31" s="54" t="s">
        <v>26</v>
      </c>
      <c r="B31" s="58" t="s">
        <v>196</v>
      </c>
      <c r="C31" s="55">
        <f>BÖLCSŐDE!C31+FALUHÁZ!C31+ÓVODA!C31+PMH!C31+ÖNKORMÁNYZAT!C31</f>
        <v>185986996</v>
      </c>
      <c r="D31" s="55">
        <f>BÖLCSŐDE!D31+FALUHÁZ!D31+ÓVODA!D31+PMH!D31+ÖNKORMÁNYZAT!D31</f>
        <v>272458681</v>
      </c>
      <c r="E31" s="55">
        <f>BÖLCSŐDE!E31+FALUHÁZ!E31+ÓVODA!E31+PMH!E31+ÖNKORMÁNYZAT!E31</f>
        <v>84761540</v>
      </c>
      <c r="F31" s="55">
        <f>BÖLCSŐDE!F31+FALUHÁZ!F31+ÓVODA!F31+PMH!F31+ÖNKORMÁNYZAT!F31</f>
        <v>68378580</v>
      </c>
      <c r="G31" s="55">
        <f>BÖLCSŐDE!G31+FALUHÁZ!G31+ÓVODA!G31+PMH!G31+ÖNKORMÁNYZAT!G31</f>
        <v>0</v>
      </c>
      <c r="H31" s="55">
        <f>BÖLCSŐDE!H31+FALUHÁZ!H31+ÓVODA!H31+PMH!H31+ÖNKORMÁNYZAT!H31</f>
        <v>0</v>
      </c>
      <c r="I31" s="55">
        <f t="shared" si="0"/>
        <v>0</v>
      </c>
      <c r="J31" s="55">
        <v>93140883.5</v>
      </c>
      <c r="K31" s="55">
        <v>93140883.5</v>
      </c>
      <c r="L31" s="55">
        <f>BÖLCSŐDE!L31+FALUHÁZ!L31+ÓVODA!L31+PMH!L31+ÖNKORMÁNYZAT!L31</f>
        <v>93140883.5</v>
      </c>
      <c r="M31" s="1">
        <f t="shared" si="1"/>
        <v>0</v>
      </c>
      <c r="O31" s="55">
        <f>BÖLCSŐDE!O31+FALUHÁZ!N31+ÓVODA!O31+PMH!O31+ÖNKORMÁNYZAT!O31</f>
        <v>97612884</v>
      </c>
      <c r="P31" s="55">
        <f>BÖLCSŐDE!P31+FALUHÁZ!O31+ÓVODA!P31+PMH!P31+ÖNKORMÁNYZAT!P31</f>
        <v>0</v>
      </c>
      <c r="Q31" s="55">
        <f>BÖLCSŐDE!Q31+FALUHÁZ!P31+ÓVODA!Q31+PMH!Q31+ÖNKORMÁNYZAT!Q31</f>
        <v>0</v>
      </c>
      <c r="R31" s="55">
        <f>BÖLCSŐDE!R31+FALUHÁZ!Q31+ÓVODA!R31+PMH!R31+ÖNKORMÁNYZAT!R31</f>
        <v>75000000</v>
      </c>
      <c r="S31" s="55">
        <f>BÖLCSŐDE!S31+FALUHÁZ!R31+ÓVODA!S31+PMH!S31+ÖNKORMÁNYZAT!S31</f>
        <v>0</v>
      </c>
      <c r="T31" s="55">
        <f>BÖLCSŐDE!T31+FALUHÁZ!S31+ÓVODA!T31+PMH!T31+ÖNKORMÁNYZAT!T31</f>
        <v>0</v>
      </c>
      <c r="U31" s="55">
        <f>BÖLCSŐDE!U31+FALUHÁZ!T31+ÓVODA!U31+PMH!U31+ÖNKORMÁNYZAT!U31</f>
        <v>0</v>
      </c>
      <c r="V31" s="55">
        <f>BÖLCSŐDE!V31+FALUHÁZ!U31+ÓVODA!V31+PMH!V31+ÖNKORMÁNYZAT!V31</f>
        <v>0</v>
      </c>
      <c r="W31" s="55">
        <f>BÖLCSŐDE!W31+FALUHÁZ!V31+ÓVODA!W31+PMH!W31+ÖNKORMÁNYZAT!W31</f>
        <v>0</v>
      </c>
      <c r="X31" s="122"/>
      <c r="AA31" s="55">
        <f>BÖLCSŐDE!AA31+FALUHÁZ!Z31+ÓVODA!AA31+PMH!AA31+ÖNKORMÁNYZAT!AA31</f>
        <v>0</v>
      </c>
      <c r="AB31" s="55">
        <f>BÖLCSŐDE!AB31+FALUHÁZ!AA31+ÓVODA!AB31+PMH!AB31+ÖNKORMÁNYZAT!AB31</f>
        <v>0</v>
      </c>
      <c r="AC31" s="55">
        <f>BÖLCSŐDE!AB31+FALUHÁZ!AA31+ÓVODA!AB31+PMH!AB31+ÖNKORMÁNYZAT!AB31</f>
        <v>0</v>
      </c>
      <c r="AD31" s="55">
        <f>BÖLCSŐDE!AC31+FALUHÁZ!AB31+ÓVODA!AC31+PMH!AC31+ÖNKORMÁNYZAT!AC31</f>
        <v>0</v>
      </c>
      <c r="AE31" s="223">
        <f>BÖLCSŐDE!AE31+FALUHÁZ!AD31+ÓVODA!AE31+PMH!AE31+ÖNKORMÁNYZAT!AD31</f>
        <v>0</v>
      </c>
      <c r="AF31" s="122"/>
      <c r="AG31" s="55">
        <f>BÖLCSŐDE!AG31+FALUHÁZ!AG31+ÓVODA!AG31+PMH!AG31+ÖNKORMÁNYZAT!AG31</f>
        <v>0</v>
      </c>
      <c r="AH31" s="55"/>
      <c r="AI31" s="55">
        <f>BÖLCSŐDE!AI31+FALUHÁZ!AJ31+ÓVODA!AI31+PMH!AI31+ÖNKORMÁNYZAT!AI31</f>
        <v>0</v>
      </c>
      <c r="AJ31" s="55"/>
      <c r="AK31" s="55">
        <f>BÖLCSŐDE!AL31+FALUHÁZ!AK31+ÓVODA!AK31+PMH!AK31+ÖNKORMÁNYZAT!AK31</f>
        <v>0</v>
      </c>
      <c r="AM31" s="55">
        <f>BÖLCSŐDE!AM31+FALUHÁZ!AM31+ÓVODA!AM31+PMH!AM31+ÖNKORMÁNYZAT!AM31</f>
        <v>0</v>
      </c>
      <c r="AN31" s="55">
        <f>BÖLCSŐDE!AN31+FALUHÁZ!AN31+ÓVODA!AP31+PMH!AN31+ÖNKORMÁNYZAT!AP31</f>
        <v>0</v>
      </c>
      <c r="AO31" s="55">
        <f>BÖLCSŐDE!AO31+FALUHÁZ!AO31+ÓVODA!AQ31+PMH!AO31+ÖNKORMÁNYZAT!AQ31</f>
        <v>0</v>
      </c>
      <c r="AP31" s="55">
        <f>BÖLCSŐDE!AP31+FALUHÁZ!AP31+ÓVODA!AP31+PMH!AP31+ÖNKORMÁNYZAT!AP31</f>
        <v>0</v>
      </c>
      <c r="AQ31" s="55">
        <f>BÖLCSŐDE!AQ31+FALUHÁZ!AQ31+ÓVODA!AQ31+PMH!AQ31+ÖNKORMÁNYZAT!AQ31</f>
        <v>0</v>
      </c>
      <c r="AR31" s="55">
        <f t="shared" si="4"/>
        <v>0</v>
      </c>
      <c r="AS31" s="54"/>
      <c r="AT31" s="55">
        <f>BÖLCSŐDE!AT31+FALUHÁZ!AT31+ÓVODA!AT31+PMH!AT31+ÖNKORMÁNYZAT!AT31</f>
        <v>0</v>
      </c>
      <c r="AU31" s="55"/>
      <c r="AV31" s="54"/>
      <c r="AW31" s="55">
        <f>BÖLCSŐDE!AW31+FALUHÁZ!AW31+ÓVODA!AW31+PMH!AW31+ÖNKORMÁNYZAT!AW31</f>
        <v>0</v>
      </c>
      <c r="AX31" s="55">
        <f>BÖLCSŐDE!AX31+FALUHÁZ!AX31+ÓVODA!AX31+PMH!AX31+ÖNKORMÁNYZAT!AX31</f>
        <v>0</v>
      </c>
      <c r="AY31" s="55">
        <f>BÖLCSŐDE!AY31+FALUHÁZ!AY31+ÓVODA!AY31+PMH!AY31+ÖNKORMÁNYZAT!AY31</f>
        <v>0</v>
      </c>
      <c r="AZ31" s="55">
        <f>BÖLCSŐDE!AZ31+FALUHÁZ!AZ31+ÓVODA!AZ31+PMH!AZ31+ÖNKORMÁNYZAT!AZ31</f>
        <v>0</v>
      </c>
      <c r="BA31" s="55">
        <f>BÖLCSŐDE!BA31+FALUHÁZ!BA31+ÓVODA!BA31+PMH!BA31+ÖNKORMÁNYZAT!BA31</f>
        <v>0</v>
      </c>
      <c r="BB31" s="501">
        <f>BÖLCSŐDE!BB31+FALUHÁZ!BB31+ÓVODA!BB31+PMH!BB31+ÖNKORMÁNYZAT!BB31</f>
        <v>0</v>
      </c>
      <c r="BC31" s="501">
        <f>BÖLCSŐDE!BC31+FALUHÁZ!BC31+ÓVODA!BC31+PMH!BC31+ÖNKORMÁNYZAT!BC31</f>
        <v>0</v>
      </c>
      <c r="BD31" s="501">
        <f>BÖLCSŐDE!BD31+FALUHÁZ!BD31+ÓVODA!BD31+PMH!BD31+ÖNKORMÁNYZAT!BD31</f>
        <v>0</v>
      </c>
      <c r="BE31" s="501">
        <f>BÖLCSŐDE!BE31+FALUHÁZ!BE31+ÓVODA!BE31+PMH!BE31+ÖNKORMÁNYZAT!BE31</f>
        <v>0</v>
      </c>
      <c r="BF31" s="501">
        <f>BÖLCSŐDE!BF31+FALUHÁZ!BF31+ÓVODA!BF31+PMH!BF31+ÖNKORMÁNYZAT!BF31</f>
        <v>0</v>
      </c>
      <c r="BG31" s="383">
        <f>BÖLCSŐDE!BG31+FALUHÁZ!BG31+ÓVODA!BG31+PMH!BG31+ÖNKORMÁNYZAT!BG31</f>
        <v>0</v>
      </c>
      <c r="BH31" s="65">
        <f>BÖLCSŐDE!BH31+FALUHÁZ!BH31+ÓVODA!BH31+PMH!BH31+ÖNKORMÁNYZAT!BH31</f>
        <v>0</v>
      </c>
      <c r="BI31" s="65">
        <f>BÖLCSŐDE!BI31+FALUHÁZ!BI31+ÓVODA!BI31+PMH!BI31+ÖNKORMÁNYZAT!BI31</f>
        <v>0</v>
      </c>
      <c r="BJ31" s="65">
        <f>BÖLCSŐDE!BJ31+FALUHÁZ!BJ31+ÓVODA!BJ31+PMH!BJ31+ÖNKORMÁNYZAT!BJ31</f>
        <v>0</v>
      </c>
      <c r="BK31" s="65">
        <f>BÖLCSŐDE!BK31+FALUHÁZ!BK31+ÓVODA!BK31+PMH!BK31+ÖNKORMÁNYZAT!BK31</f>
        <v>0</v>
      </c>
      <c r="BL31" s="65">
        <f>BÖLCSŐDE!BL31+FALUHÁZ!BL31+ÓVODA!BL31+PMH!BL31+ÖNKORMÁNYZAT!BL31</f>
        <v>0</v>
      </c>
      <c r="BM31" s="65">
        <f>BÖLCSŐDE!BM31+FALUHÁZ!BM31+ÓVODA!BM31+PMH!BM31+ÖNKORMÁNYZAT!BM31</f>
        <v>0</v>
      </c>
      <c r="BN31" s="65">
        <f>BÖLCSŐDE!BN31+FALUHÁZ!BN31+ÓVODA!BN31+PMH!BN31+ÖNKORMÁNYZAT!BN31</f>
        <v>0</v>
      </c>
      <c r="BO31" s="65">
        <f>BÖLCSŐDE!BO31+FALUHÁZ!BO31+ÓVODA!BO31+PMH!BO31+ÖNKORMÁNYZAT!BO31</f>
        <v>0</v>
      </c>
      <c r="BP31" s="65">
        <f>BÖLCSŐDE!BP31+FALUHÁZ!BP31+ÓVODA!BP31+PMH!BP31+ÖNKORMÁNYZAT!BP31</f>
        <v>0</v>
      </c>
      <c r="BQ31" s="65">
        <f>BÖLCSŐDE!BQ31+FALUHÁZ!BQ31+ÓVODA!BQ31+PMH!BQ31+ÖNKORMÁNYZAT!BQ31</f>
        <v>0</v>
      </c>
      <c r="BR31" s="65">
        <f>BÖLCSŐDE!BR31+FALUHÁZ!BR31+ÓVODA!BR31+PMH!BR31+ÖNKORMÁNYZAT!BR31</f>
        <v>0</v>
      </c>
      <c r="BS31" s="65">
        <f>BÖLCSŐDE!BS31+FALUHÁZ!BS31+ÓVODA!BS31+PMH!BS31+ÖNKORMÁNYZAT!BS31</f>
        <v>0</v>
      </c>
      <c r="BT31" s="65">
        <f>BÖLCSŐDE!BT31+FALUHÁZ!BT31+ÓVODA!BT31+PMH!BT31+ÖNKORMÁNYZAT!BT31</f>
        <v>0</v>
      </c>
      <c r="BU31" s="65">
        <f>BÖLCSŐDE!BU31+FALUHÁZ!BU31+ÓVODA!BU31+PMH!BU31+ÖNKORMÁNYZAT!BU31</f>
        <v>0</v>
      </c>
      <c r="BV31" s="65">
        <f>BÖLCSŐDE!BV31+FALUHÁZ!BV31+ÓVODA!BV31+PMH!BV31+ÖNKORMÁNYZAT!BV31</f>
        <v>0</v>
      </c>
    </row>
    <row r="32" spans="1:74" x14ac:dyDescent="0.25">
      <c r="A32" s="54" t="s">
        <v>241</v>
      </c>
      <c r="B32" s="58" t="s">
        <v>242</v>
      </c>
      <c r="C32" s="55"/>
      <c r="D32" s="55"/>
      <c r="E32" s="55"/>
      <c r="F32" s="55"/>
      <c r="G32" s="55">
        <f>BÖLCSŐDE!G32+FALUHÁZ!G32+ÓVODA!G32+PMH!G32+ÖNKORMÁNYZAT!G32</f>
        <v>84761540</v>
      </c>
      <c r="H32" s="55">
        <f>BÖLCSŐDE!H32+FALUHÁZ!H32+ÓVODA!H32+PMH!H32+ÖNKORMÁNYZAT!H32</f>
        <v>700901</v>
      </c>
      <c r="I32" s="55">
        <f t="shared" si="0"/>
        <v>764619.27272727271</v>
      </c>
      <c r="J32" s="55">
        <v>0</v>
      </c>
      <c r="K32" s="55">
        <v>0</v>
      </c>
      <c r="L32" s="55">
        <f>BÖLCSŐDE!L32+FALUHÁZ!L32+ÓVODA!L32+PMH!L32+ÖNKORMÁNYZAT!L32</f>
        <v>0</v>
      </c>
      <c r="M32" s="1">
        <f t="shared" si="1"/>
        <v>0</v>
      </c>
      <c r="O32" s="55">
        <f>BÖLCSŐDE!O32+FALUHÁZ!N32+ÓVODA!O32+PMH!O32+ÖNKORMÁNYZAT!O32</f>
        <v>0</v>
      </c>
      <c r="P32" s="55">
        <f>BÖLCSŐDE!P32+FALUHÁZ!O32+ÓVODA!P32+PMH!P32+ÖNKORMÁNYZAT!P32</f>
        <v>409992</v>
      </c>
      <c r="Q32" s="55">
        <f>BÖLCSŐDE!Q32+FALUHÁZ!P32+ÓVODA!Q32+PMH!Q32+ÖNKORMÁNYZAT!Q32</f>
        <v>454992</v>
      </c>
      <c r="R32" s="55">
        <f>BÖLCSŐDE!R32+FALUHÁZ!Q32+ÓVODA!R32+PMH!R32+ÖNKORMÁNYZAT!R32</f>
        <v>180000</v>
      </c>
      <c r="S32" s="55">
        <f>BÖLCSŐDE!S32+FALUHÁZ!R32+ÓVODA!S32+PMH!S32+ÖNKORMÁNYZAT!S32</f>
        <v>97612884</v>
      </c>
      <c r="T32" s="55">
        <f>BÖLCSŐDE!T32+FALUHÁZ!S32+ÓVODA!T32+PMH!T32+ÖNKORMÁNYZAT!T32</f>
        <v>484992</v>
      </c>
      <c r="U32" s="55">
        <f>BÖLCSŐDE!U32+FALUHÁZ!T32+ÓVODA!U32+PMH!U32+ÖNKORMÁNYZAT!U32</f>
        <v>330000</v>
      </c>
      <c r="V32" s="55">
        <f>BÖLCSŐDE!V32+FALUHÁZ!U32+ÓVODA!V32+PMH!V32+ÖNKORMÁNYZAT!V32</f>
        <v>330000</v>
      </c>
      <c r="W32" s="55">
        <f>BÖLCSŐDE!W32+FALUHÁZ!V32+ÓVODA!W32+PMH!W32+ÖNKORMÁNYZAT!W32</f>
        <v>330000</v>
      </c>
      <c r="X32" s="122">
        <f t="shared" si="2"/>
        <v>146.96727272727273</v>
      </c>
      <c r="AA32" s="55">
        <f>BÖLCSŐDE!AA32+FALUHÁZ!Z32+ÓVODA!AA32+PMH!AA32+ÖNKORMÁNYZAT!AA32</f>
        <v>330000</v>
      </c>
      <c r="AB32" s="55">
        <f>BÖLCSŐDE!AB32+FALUHÁZ!AA32+ÓVODA!AB32+PMH!AB32+ÖNKORMÁNYZAT!AB32</f>
        <v>88333</v>
      </c>
      <c r="AC32" s="55">
        <f>BÖLCSŐDE!AB32+FALUHÁZ!AA32+ÓVODA!AB32+PMH!AB32+ÖNKORMÁNYZAT!AB32</f>
        <v>88333</v>
      </c>
      <c r="AD32" s="55">
        <f>BÖLCSŐDE!AC32+FALUHÁZ!AB32+ÓVODA!AC32+PMH!AC32+ÖNKORMÁNYZAT!AC32</f>
        <v>96668</v>
      </c>
      <c r="AE32" s="223">
        <f>BÖLCSŐDE!AE32+FALUHÁZ!AD32+ÓVODA!AE32+PMH!AE32+ÖNKORMÁNYZAT!AD32</f>
        <v>116668</v>
      </c>
      <c r="AF32" s="122">
        <f t="shared" si="3"/>
        <v>29.293333333333333</v>
      </c>
      <c r="AG32" s="55">
        <f>BÖLCSŐDE!AG32+FALUHÁZ!AG32+ÓVODA!AG32+PMH!AG32+ÖNKORMÁNYZAT!AG32</f>
        <v>116668</v>
      </c>
      <c r="AH32" s="55"/>
      <c r="AI32" s="55">
        <f>BÖLCSŐDE!AI32+FALUHÁZ!AJ32+ÓVODA!AI32+PMH!AI32+ÖNKORMÁNYZAT!AI32</f>
        <v>142801.63199999998</v>
      </c>
      <c r="AJ32" s="55"/>
      <c r="AK32" s="55">
        <f>BÖLCSŐDE!AL32+FALUHÁZ!AK32+ÓVODA!AK32+PMH!AK32+ÖNKORMÁNYZAT!AK32</f>
        <v>142801.63199999998</v>
      </c>
      <c r="AM32" s="55">
        <f>BÖLCSŐDE!AM32+FALUHÁZ!AM32+ÓVODA!AM32+PMH!AM32+ÖNKORMÁNYZAT!AM32</f>
        <v>116668</v>
      </c>
      <c r="AN32" s="55">
        <f>BÖLCSŐDE!AN32+FALUHÁZ!AN32+ÓVODA!AP32+PMH!AN32+ÖNKORMÁNYZAT!AP32</f>
        <v>0</v>
      </c>
      <c r="AO32" s="55">
        <f>BÖLCSŐDE!AO32+FALUHÁZ!AO32+ÓVODA!AQ32+PMH!AO32+ÖNKORMÁNYZAT!AQ32</f>
        <v>0</v>
      </c>
      <c r="AP32" s="55">
        <f>BÖLCSŐDE!AP32+FALUHÁZ!AP32+ÓVODA!AP32+PMH!AP32+ÖNKORMÁNYZAT!AP32</f>
        <v>0</v>
      </c>
      <c r="AQ32" s="55">
        <f>BÖLCSŐDE!AQ32+FALUHÁZ!AQ32+ÓVODA!AQ32+PMH!AQ32+ÖNKORMÁNYZAT!AQ32</f>
        <v>0</v>
      </c>
      <c r="AR32" s="55">
        <f t="shared" si="4"/>
        <v>0</v>
      </c>
      <c r="AS32" s="54"/>
      <c r="AT32" s="55">
        <f>BÖLCSŐDE!AT32+FALUHÁZ!AT32+ÓVODA!AT32+PMH!AT32+ÖNKORMÁNYZAT!AT32</f>
        <v>0</v>
      </c>
      <c r="AU32" s="55"/>
      <c r="AV32" s="54"/>
      <c r="AW32" s="55">
        <f>BÖLCSŐDE!AW32+FALUHÁZ!AW32+ÓVODA!AW32+PMH!AW32+ÖNKORMÁNYZAT!AW32</f>
        <v>0</v>
      </c>
      <c r="AX32" s="55">
        <f>BÖLCSŐDE!AX32+FALUHÁZ!AX32+ÓVODA!AX32+PMH!AX32+ÖNKORMÁNYZAT!AX32</f>
        <v>0</v>
      </c>
      <c r="AY32" s="55">
        <f>BÖLCSŐDE!AY32+FALUHÁZ!AY32+ÓVODA!AY32+PMH!AY32+ÖNKORMÁNYZAT!AY32</f>
        <v>0</v>
      </c>
      <c r="AZ32" s="55">
        <f>BÖLCSŐDE!AZ32+FALUHÁZ!AZ32+ÓVODA!AZ32+PMH!AZ32+ÖNKORMÁNYZAT!AZ32</f>
        <v>0</v>
      </c>
      <c r="BA32" s="55">
        <f>BÖLCSŐDE!BA32+FALUHÁZ!BA32+ÓVODA!BA32+PMH!BA32+ÖNKORMÁNYZAT!BA32</f>
        <v>0</v>
      </c>
      <c r="BB32" s="501">
        <f>BÖLCSŐDE!BB32+FALUHÁZ!BB32+ÓVODA!BB32+PMH!BB32+ÖNKORMÁNYZAT!BB32</f>
        <v>0</v>
      </c>
      <c r="BC32" s="501">
        <f>BÖLCSŐDE!BC32+FALUHÁZ!BC32+ÓVODA!BC32+PMH!BC32+ÖNKORMÁNYZAT!BC32</f>
        <v>0</v>
      </c>
      <c r="BD32" s="501">
        <f>BÖLCSŐDE!BD32+FALUHÁZ!BD32+ÓVODA!BD32+PMH!BD32+ÖNKORMÁNYZAT!BD32</f>
        <v>0</v>
      </c>
      <c r="BE32" s="501">
        <f>BÖLCSŐDE!BE32+FALUHÁZ!BE32+ÓVODA!BE32+PMH!BE32+ÖNKORMÁNYZAT!BE32</f>
        <v>0</v>
      </c>
      <c r="BF32" s="501">
        <f>BÖLCSŐDE!BF32+FALUHÁZ!BF32+ÓVODA!BF32+PMH!BF32+ÖNKORMÁNYZAT!BF32</f>
        <v>0</v>
      </c>
      <c r="BG32" s="383">
        <f>BÖLCSŐDE!BG32+FALUHÁZ!BG32+ÓVODA!BG32+PMH!BG32+ÖNKORMÁNYZAT!BG32</f>
        <v>0</v>
      </c>
      <c r="BH32" s="65">
        <f>BÖLCSŐDE!BH32+FALUHÁZ!BH32+ÓVODA!BH32+PMH!BH32+ÖNKORMÁNYZAT!BH32</f>
        <v>0</v>
      </c>
      <c r="BI32" s="65">
        <f>BÖLCSŐDE!BI32+FALUHÁZ!BI32+ÓVODA!BI32+PMH!BI32+ÖNKORMÁNYZAT!BI32</f>
        <v>0</v>
      </c>
      <c r="BJ32" s="65">
        <f>BÖLCSŐDE!BJ32+FALUHÁZ!BJ32+ÓVODA!BJ32+PMH!BJ32+ÖNKORMÁNYZAT!BJ32</f>
        <v>0</v>
      </c>
      <c r="BK32" s="65">
        <f>BÖLCSŐDE!BK32+FALUHÁZ!BK32+ÓVODA!BK32+PMH!BK32+ÖNKORMÁNYZAT!BK32</f>
        <v>0</v>
      </c>
      <c r="BL32" s="65">
        <f>BÖLCSŐDE!BL32+FALUHÁZ!BL32+ÓVODA!BL32+PMH!BL32+ÖNKORMÁNYZAT!BL32</f>
        <v>0</v>
      </c>
      <c r="BM32" s="65">
        <f>BÖLCSŐDE!BM32+FALUHÁZ!BM32+ÓVODA!BM32+PMH!BM32+ÖNKORMÁNYZAT!BM32</f>
        <v>0</v>
      </c>
      <c r="BN32" s="65">
        <f>BÖLCSŐDE!BN32+FALUHÁZ!BN32+ÓVODA!BN32+PMH!BN32+ÖNKORMÁNYZAT!BN32</f>
        <v>0</v>
      </c>
      <c r="BO32" s="65">
        <f>BÖLCSŐDE!BO32+FALUHÁZ!BO32+ÓVODA!BO32+PMH!BO32+ÖNKORMÁNYZAT!BO32</f>
        <v>0</v>
      </c>
      <c r="BP32" s="65">
        <f>BÖLCSŐDE!BP32+FALUHÁZ!BP32+ÓVODA!BP32+PMH!BP32+ÖNKORMÁNYZAT!BP32</f>
        <v>0</v>
      </c>
      <c r="BQ32" s="65">
        <f>BÖLCSŐDE!BQ32+FALUHÁZ!BQ32+ÓVODA!BQ32+PMH!BQ32+ÖNKORMÁNYZAT!BQ32</f>
        <v>0</v>
      </c>
      <c r="BR32" s="65">
        <f>BÖLCSŐDE!BR32+FALUHÁZ!BR32+ÓVODA!BR32+PMH!BR32+ÖNKORMÁNYZAT!BR32</f>
        <v>0</v>
      </c>
      <c r="BS32" s="65">
        <f>BÖLCSŐDE!BS32+FALUHÁZ!BS32+ÓVODA!BS32+PMH!BS32+ÖNKORMÁNYZAT!BS32</f>
        <v>0</v>
      </c>
      <c r="BT32" s="65">
        <f>BÖLCSŐDE!BT32+FALUHÁZ!BT32+ÓVODA!BT32+PMH!BT32+ÖNKORMÁNYZAT!BT32</f>
        <v>0</v>
      </c>
      <c r="BU32" s="65">
        <f>BÖLCSŐDE!BU32+FALUHÁZ!BU32+ÓVODA!BU32+PMH!BU32+ÖNKORMÁNYZAT!BU32</f>
        <v>0</v>
      </c>
      <c r="BV32" s="65">
        <f>BÖLCSŐDE!BV32+FALUHÁZ!BV32+ÓVODA!BV32+PMH!BV32+ÖNKORMÁNYZAT!BV32</f>
        <v>0</v>
      </c>
    </row>
    <row r="33" spans="1:92" x14ac:dyDescent="0.25">
      <c r="A33" s="54" t="s">
        <v>253</v>
      </c>
      <c r="B33" s="58" t="s">
        <v>254</v>
      </c>
      <c r="C33" s="55"/>
      <c r="D33" s="55"/>
      <c r="E33" s="55"/>
      <c r="F33" s="55"/>
      <c r="G33" s="55">
        <f>BÖLCSŐDE!G33+FALUHÁZ!G33+ÓVODA!G33+PMH!G33+ÖNKORMÁNYZAT!G33</f>
        <v>0</v>
      </c>
      <c r="H33" s="55">
        <f>BÖLCSŐDE!H33+FALUHÁZ!H33+ÓVODA!H33+PMH!H33+ÖNKORMÁNYZAT!H33</f>
        <v>57950608</v>
      </c>
      <c r="I33" s="55">
        <f t="shared" si="0"/>
        <v>63218845.090909094</v>
      </c>
      <c r="J33" s="55">
        <v>7000000</v>
      </c>
      <c r="K33" s="55">
        <v>4472000</v>
      </c>
      <c r="L33" s="55">
        <f>BÖLCSŐDE!L33+FALUHÁZ!L33+ÓVODA!L33+PMH!L33+ÖNKORMÁNYZAT!L33</f>
        <v>4472000</v>
      </c>
      <c r="M33" s="1">
        <f t="shared" si="1"/>
        <v>7.0738400765930409</v>
      </c>
      <c r="O33" s="55">
        <f>BÖLCSŐDE!O33+FALUHÁZ!N33+ÓVODA!O33+PMH!O33+ÖNKORMÁNYZAT!O33</f>
        <v>0</v>
      </c>
      <c r="P33" s="55">
        <f>BÖLCSŐDE!P33+FALUHÁZ!O33+ÓVODA!P33+PMH!P33+ÖNKORMÁNYZAT!P33</f>
        <v>5813435</v>
      </c>
      <c r="Q33" s="55">
        <f>BÖLCSŐDE!Q33+FALUHÁZ!P33+ÓVODA!Q33+PMH!Q33+ÖNKORMÁNYZAT!Q33</f>
        <v>6061770</v>
      </c>
      <c r="R33" s="55">
        <f>BÖLCSŐDE!R33+FALUHÁZ!Q33+ÓVODA!R33+PMH!R33+ÖNKORMÁNYZAT!R33</f>
        <v>4472000</v>
      </c>
      <c r="S33" s="55">
        <f>BÖLCSŐDE!S33+FALUHÁZ!R33+ÓVODA!S33+PMH!S33+ÖNKORMÁNYZAT!S33</f>
        <v>0</v>
      </c>
      <c r="T33" s="55">
        <f>BÖLCSŐDE!T33+FALUHÁZ!S33+ÓVODA!T33+PMH!T33+ÖNKORMÁNYZAT!T33</f>
        <v>6641940</v>
      </c>
      <c r="U33" s="55">
        <f>BÖLCSŐDE!U33+FALUHÁZ!T33+ÓVODA!U33+PMH!U33+ÖNKORMÁNYZAT!U33</f>
        <v>9000000</v>
      </c>
      <c r="V33" s="55">
        <f>BÖLCSŐDE!V33+FALUHÁZ!U33+ÓVODA!V33+PMH!V33+ÖNKORMÁNYZAT!V33</f>
        <v>9000000</v>
      </c>
      <c r="W33" s="55">
        <f>BÖLCSŐDE!W33+FALUHÁZ!V33+ÓVODA!W33+PMH!W33+ÖNKORMÁNYZAT!W33</f>
        <v>9000000</v>
      </c>
      <c r="X33" s="122">
        <f t="shared" si="2"/>
        <v>73.799333333333323</v>
      </c>
      <c r="AA33" s="55">
        <f>BÖLCSŐDE!AA33+FALUHÁZ!Z33+ÓVODA!AA33+PMH!AA33+ÖNKORMÁNYZAT!AA33</f>
        <v>9000000</v>
      </c>
      <c r="AB33" s="55">
        <f>BÖLCSŐDE!AB33+FALUHÁZ!AA33+ÓVODA!AB33+PMH!AB33+ÖNKORMÁNYZAT!AB33</f>
        <v>1390010</v>
      </c>
      <c r="AC33" s="55">
        <f>BÖLCSŐDE!AB33+FALUHÁZ!AA33+ÓVODA!AB33+PMH!AB33+ÖNKORMÁNYZAT!AB33</f>
        <v>1390010</v>
      </c>
      <c r="AD33" s="55">
        <f>BÖLCSŐDE!AC33+FALUHÁZ!AB33+ÓVODA!AC33+PMH!AC33+ÖNKORMÁNYZAT!AC33</f>
        <v>1698345</v>
      </c>
      <c r="AE33" s="223">
        <f>BÖLCSŐDE!AE33+FALUHÁZ!AD33+ÓVODA!AE33+PMH!AE33+ÖNKORMÁNYZAT!AD33</f>
        <v>1933345</v>
      </c>
      <c r="AF33" s="122">
        <f t="shared" si="3"/>
        <v>18.8705</v>
      </c>
      <c r="AG33" s="55">
        <f>BÖLCSŐDE!AG33+FALUHÁZ!AG33+ÓVODA!AG33+PMH!AG33+ÖNKORMÁNYZAT!AG33</f>
        <v>2153345</v>
      </c>
      <c r="AH33" s="55"/>
      <c r="AI33" s="55">
        <f>BÖLCSŐDE!AI33+FALUHÁZ!AJ33+ÓVODA!AI33+PMH!AI33+ÖNKORMÁNYZAT!AI33</f>
        <v>2635694.2800000003</v>
      </c>
      <c r="AJ33" s="55"/>
      <c r="AK33" s="55">
        <f>BÖLCSŐDE!AL33+FALUHÁZ!AK33+ÓVODA!AK33+PMH!AK33+ÖNKORMÁNYZAT!AK33</f>
        <v>11767500</v>
      </c>
      <c r="AM33" s="55">
        <f>BÖLCSŐDE!AM33+FALUHÁZ!AM33+ÓVODA!AM33+PMH!AM33+ÖNKORMÁNYZAT!AM33</f>
        <v>2481345</v>
      </c>
      <c r="AN33" s="55">
        <f>BÖLCSŐDE!AN33+FALUHÁZ!AN33+ÓVODA!AP33+PMH!AN33+ÖNKORMÁNYZAT!AP33</f>
        <v>24314000</v>
      </c>
      <c r="AO33" s="55">
        <f>BÖLCSŐDE!AO33+FALUHÁZ!AO33+ÓVODA!AQ33+PMH!AO33+ÖNKORMÁNYZAT!AQ33</f>
        <v>168369928</v>
      </c>
      <c r="AP33" s="55">
        <f>BÖLCSŐDE!AP33+FALUHÁZ!AP33+ÓVODA!AP33+PMH!AP33+ÖNKORMÁNYZAT!AP33</f>
        <v>24314000</v>
      </c>
      <c r="AQ33" s="55">
        <f>BÖLCSŐDE!AQ33+FALUHÁZ!AQ33+ÓVODA!AQ33+PMH!AQ33+ÖNKORMÁNYZAT!AQ33</f>
        <v>168369928</v>
      </c>
      <c r="AR33" s="55">
        <f t="shared" si="4"/>
        <v>-144055928</v>
      </c>
      <c r="AS33" s="54">
        <f t="shared" si="5"/>
        <v>692.48140166159408</v>
      </c>
      <c r="AT33" s="55">
        <f>BÖLCSŐDE!AT33+FALUHÁZ!AT33+ÓVODA!AT33+PMH!AT33+ÖNKORMÁNYZAT!AT33</f>
        <v>169326928</v>
      </c>
      <c r="AU33" s="55"/>
      <c r="AV33" s="54">
        <f t="shared" si="7"/>
        <v>0</v>
      </c>
      <c r="AW33" s="55">
        <f>BÖLCSŐDE!AW33+FALUHÁZ!AW33+ÓVODA!AW33+PMH!AW33+ÖNKORMÁNYZAT!AW33</f>
        <v>24314000</v>
      </c>
      <c r="AX33" s="55">
        <f>BÖLCSŐDE!AX33+FALUHÁZ!AX33+ÓVODA!AX33+PMH!AX33+ÖNKORMÁNYZAT!AX33</f>
        <v>65093500</v>
      </c>
      <c r="AY33" s="55">
        <f>BÖLCSŐDE!AY33+FALUHÁZ!AY33+ÓVODA!AY33+PMH!AY33+ÖNKORMÁNYZAT!AY33</f>
        <v>70093500</v>
      </c>
      <c r="AZ33" s="55">
        <f>BÖLCSŐDE!AZ33+FALUHÁZ!AZ33+ÓVODA!AZ33+PMH!AZ33+ÖNKORMÁNYZAT!AZ33</f>
        <v>70093500</v>
      </c>
      <c r="BA33" s="55">
        <f>BÖLCSŐDE!BA33+FALUHÁZ!BA33+ÓVODA!BA33+PMH!BA33+ÖNKORMÁNYZAT!BA33</f>
        <v>70093500</v>
      </c>
      <c r="BB33" s="501">
        <f>BÖLCSŐDE!BB33+FALUHÁZ!BB33+ÓVODA!BB33+PMH!BB33+ÖNKORMÁNYZAT!BB33</f>
        <v>70093500</v>
      </c>
      <c r="BC33" s="501">
        <f>BÖLCSŐDE!BC33+FALUHÁZ!BC33+ÓVODA!BC33+PMH!BC33+ÖNKORMÁNYZAT!BC33</f>
        <v>70093500</v>
      </c>
      <c r="BD33" s="501">
        <f>BÖLCSŐDE!BD33+FALUHÁZ!BD33+ÓVODA!BD33+PMH!BD33+ÖNKORMÁNYZAT!BD33</f>
        <v>6841653</v>
      </c>
      <c r="BE33" s="501">
        <f>BÖLCSŐDE!BE33+FALUHÁZ!BE33+ÓVODA!BE33+PMH!BE33+ÖNKORMÁNYZAT!BE33</f>
        <v>8591653</v>
      </c>
      <c r="BF33" s="501">
        <f>BÖLCSŐDE!BF33+FALUHÁZ!BF33+ÓVODA!BF33+PMH!BF33+ÖNKORMÁNYZAT!BF33</f>
        <v>9190296</v>
      </c>
      <c r="BG33" s="383">
        <f>BÖLCSŐDE!BG33+FALUHÁZ!BG33+ÓVODA!BG33+PMH!BG33+ÖNKORMÁNYZAT!BG33</f>
        <v>11028355.199999999</v>
      </c>
      <c r="BH33" s="65">
        <f>BÖLCSŐDE!BH33+FALUHÁZ!BH33+ÓVODA!BH33+PMH!BH33+ÖNKORMÁNYZAT!BH33</f>
        <v>61000000</v>
      </c>
      <c r="BI33" s="65">
        <f>BÖLCSŐDE!BI33+FALUHÁZ!BI33+ÓVODA!BI33+PMH!BI33+ÖNKORMÁNYZAT!BI33</f>
        <v>32761030</v>
      </c>
      <c r="BJ33" s="65">
        <f>BÖLCSŐDE!BJ33+FALUHÁZ!BJ33+ÓVODA!BJ33+PMH!BJ33+ÖNKORMÁNYZAT!BJ33</f>
        <v>5756083</v>
      </c>
      <c r="BK33" s="65">
        <f>BÖLCSŐDE!BK33+FALUHÁZ!BK33+ÓVODA!BK33+PMH!BK33+ÖNKORMÁNYZAT!BK33</f>
        <v>7614631</v>
      </c>
      <c r="BL33" s="65">
        <f>BÖLCSŐDE!BL33+FALUHÁZ!BL33+ÓVODA!BL33+PMH!BL33+ÖNKORMÁNYZAT!BL33</f>
        <v>8000000</v>
      </c>
      <c r="BM33" s="65">
        <f>BÖLCSŐDE!BM33+FALUHÁZ!BM33+ÓVODA!BM33+PMH!BM33+ÖNKORMÁNYZAT!BM33</f>
        <v>10000000</v>
      </c>
      <c r="BN33" s="65">
        <f>BÖLCSŐDE!BN33+FALUHÁZ!BN33+ÓVODA!BN33+PMH!BN33+ÖNKORMÁNYZAT!BN33</f>
        <v>10000000</v>
      </c>
      <c r="BO33" s="65">
        <f>BÖLCSŐDE!BO33+FALUHÁZ!BO33+ÓVODA!BO33+PMH!BO33+ÖNKORMÁNYZAT!BO33</f>
        <v>2144000</v>
      </c>
      <c r="BP33" s="65">
        <f>BÖLCSŐDE!BP33+FALUHÁZ!BP33+ÓVODA!BP33+PMH!BP33+ÖNKORMÁNYZAT!BP33</f>
        <v>2572800</v>
      </c>
      <c r="BQ33" s="65">
        <f>BÖLCSŐDE!BQ33+FALUHÁZ!BQ33+ÓVODA!BQ33+PMH!BQ33+ÖNKORMÁNYZAT!BQ33</f>
        <v>2000000</v>
      </c>
      <c r="BR33" s="65">
        <f>BÖLCSŐDE!BR33+FALUHÁZ!BR33+ÓVODA!BR33+PMH!BR33+ÖNKORMÁNYZAT!BR33</f>
        <v>2000000</v>
      </c>
      <c r="BS33" s="65">
        <f>BÖLCSŐDE!BS33+FALUHÁZ!BS33+ÓVODA!BS33+PMH!BS33+ÖNKORMÁNYZAT!BS33</f>
        <v>2000000</v>
      </c>
      <c r="BT33" s="65">
        <f>BÖLCSŐDE!BT33+FALUHÁZ!BT33+ÓVODA!BT33+PMH!BT33+ÖNKORMÁNYZAT!BT33</f>
        <v>2000000</v>
      </c>
      <c r="BU33" s="65">
        <f>BÖLCSŐDE!BU33+FALUHÁZ!BU33+ÓVODA!BU33+PMH!BU33+ÖNKORMÁNYZAT!BU33</f>
        <v>0</v>
      </c>
      <c r="BV33" s="65">
        <f>BÖLCSŐDE!BV33+FALUHÁZ!BV33+ÓVODA!BV33+PMH!BV33+ÖNKORMÁNYZAT!BV33</f>
        <v>0</v>
      </c>
    </row>
    <row r="34" spans="1:92" x14ac:dyDescent="0.25">
      <c r="A34" s="54" t="s">
        <v>663</v>
      </c>
      <c r="B34" s="58" t="s">
        <v>664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14"/>
      <c r="O34" s="65"/>
      <c r="P34" s="65"/>
      <c r="Q34" s="65"/>
      <c r="R34" s="65"/>
      <c r="S34" s="65"/>
      <c r="T34" s="65"/>
      <c r="U34" s="65"/>
      <c r="V34" s="65"/>
      <c r="W34" s="65"/>
      <c r="X34" s="121"/>
      <c r="AA34" s="65"/>
      <c r="AB34" s="65"/>
      <c r="AC34" s="65"/>
      <c r="AD34" s="65"/>
      <c r="AE34" s="222"/>
      <c r="AF34" s="121"/>
      <c r="AG34" s="65"/>
      <c r="AH34" s="65"/>
      <c r="AI34" s="65"/>
      <c r="AJ34" s="65"/>
      <c r="AK34" s="65"/>
      <c r="AM34" s="65"/>
      <c r="AN34" s="65"/>
      <c r="AO34" s="65"/>
      <c r="AP34" s="65"/>
      <c r="AQ34" s="65"/>
      <c r="AR34" s="65"/>
      <c r="AS34" s="54"/>
      <c r="AT34" s="65"/>
      <c r="AU34" s="65"/>
      <c r="AV34" s="54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>
        <f>BÖLCSŐDE!BL34+FALUHÁZ!BL34+ÓVODA!BL34+PMH!BL34+ÖNKORMÁNYZAT!BL34</f>
        <v>50000000</v>
      </c>
      <c r="BM34" s="65">
        <f>BÖLCSŐDE!BM34+FALUHÁZ!BM34+ÓVODA!BM34+PMH!BM34+ÖNKORMÁNYZAT!BM34</f>
        <v>50000000</v>
      </c>
      <c r="BN34" s="65">
        <f>BÖLCSŐDE!BN34+FALUHÁZ!BN34+ÓVODA!BN34+PMH!BN34+ÖNKORMÁNYZAT!BN34</f>
        <v>50000000</v>
      </c>
      <c r="BO34" s="65">
        <f>BÖLCSŐDE!BO34+FALUHÁZ!BO34+ÓVODA!BO34+PMH!BO34+ÖNKORMÁNYZAT!BO34</f>
        <v>50000000</v>
      </c>
      <c r="BP34" s="65">
        <f>BÖLCSŐDE!BP34+FALUHÁZ!BP34+ÓVODA!BP34+PMH!BP34+ÖNKORMÁNYZAT!BP34</f>
        <v>50000000</v>
      </c>
      <c r="BQ34" s="65">
        <f>BÖLCSŐDE!BQ34+FALUHÁZ!BQ34+ÓVODA!BQ34+PMH!BQ34+ÖNKORMÁNYZAT!BQ34</f>
        <v>50000000</v>
      </c>
      <c r="BR34" s="65">
        <f>BÖLCSŐDE!BR34+FALUHÁZ!BR34+ÓVODA!BR34+PMH!BR34+ÖNKORMÁNYZAT!BR34</f>
        <v>50000000</v>
      </c>
      <c r="BS34" s="65">
        <f>BÖLCSŐDE!BS34+FALUHÁZ!BS34+ÓVODA!BS34+PMH!BS34+ÖNKORMÁNYZAT!BS34</f>
        <v>50000000</v>
      </c>
      <c r="BT34" s="65">
        <f>BÖLCSŐDE!BT34+FALUHÁZ!BT34+ÓVODA!BT34+PMH!BT34+ÖNKORMÁNYZAT!BT34</f>
        <v>50000000</v>
      </c>
      <c r="BU34" s="65">
        <f>BÖLCSŐDE!BU34+FALUHÁZ!BU34+ÓVODA!BU34+PMH!BU34+ÖNKORMÁNYZAT!BU34</f>
        <v>50000000</v>
      </c>
      <c r="BV34" s="65">
        <f>BÖLCSŐDE!BV34+FALUHÁZ!BV34+ÓVODA!BV34+PMH!BV34+ÖNKORMÁNYZAT!BV34</f>
        <v>50000000</v>
      </c>
    </row>
    <row r="35" spans="1:92" x14ac:dyDescent="0.25">
      <c r="A35" s="54" t="s">
        <v>27</v>
      </c>
      <c r="B35" s="55" t="s">
        <v>192</v>
      </c>
      <c r="C35" s="55">
        <f>BÖLCSŐDE!C35+FALUHÁZ!C35+ÓVODA!C35+PMH!C35+ÖNKORMÁNYZAT!C35</f>
        <v>0</v>
      </c>
      <c r="D35" s="55">
        <f>BÖLCSŐDE!D35+FALUHÁZ!D35+ÓVODA!D35+PMH!D35+ÖNKORMÁNYZAT!D35</f>
        <v>14519000</v>
      </c>
      <c r="E35" s="55">
        <f>BÖLCSŐDE!E35+FALUHÁZ!E35+ÓVODA!E35+PMH!E35+ÖNKORMÁNYZAT!E35</f>
        <v>194246655</v>
      </c>
      <c r="F35" s="55">
        <f>BÖLCSŐDE!F35+FALUHÁZ!F35+ÓVODA!F35+PMH!F35+ÖNKORMÁNYZAT!F35</f>
        <v>198290158</v>
      </c>
      <c r="G35" s="55">
        <f>BÖLCSŐDE!G35+FALUHÁZ!G35+ÓVODA!G35+PMH!G35+ÖNKORMÁNYZAT!G35</f>
        <v>198290158</v>
      </c>
      <c r="H35" s="55">
        <f>BÖLCSŐDE!H35+FALUHÁZ!H35+ÓVODA!H35+PMH!H35+ÖNKORMÁNYZAT!H35</f>
        <v>198290158</v>
      </c>
      <c r="I35" s="55">
        <f t="shared" si="0"/>
        <v>216316536</v>
      </c>
      <c r="J35" s="55">
        <v>0</v>
      </c>
      <c r="K35" s="55">
        <v>0</v>
      </c>
      <c r="L35" s="55">
        <f>BÖLCSŐDE!L35+FALUHÁZ!L35+ÓVODA!L35+PMH!L35+ÖNKORMÁNYZAT!L35</f>
        <v>0</v>
      </c>
      <c r="M35" s="1">
        <f t="shared" si="1"/>
        <v>0</v>
      </c>
      <c r="O35" s="55">
        <f>BÖLCSŐDE!O35+FALUHÁZ!N35+ÓVODA!O35+PMH!O35+ÖNKORMÁNYZAT!O35</f>
        <v>170331697</v>
      </c>
      <c r="P35" s="55">
        <f>BÖLCSŐDE!P35+FALUHÁZ!O35+ÓVODA!P35+PMH!P35+ÖNKORMÁNYZAT!P35</f>
        <v>170331697</v>
      </c>
      <c r="Q35" s="55">
        <f>BÖLCSŐDE!Q35+FALUHÁZ!P35+ÓVODA!Q35+PMH!Q35+ÖNKORMÁNYZAT!Q35</f>
        <v>170331697</v>
      </c>
      <c r="R35" s="55">
        <f>BÖLCSŐDE!R35+FALUHÁZ!Q35+ÓVODA!R35+PMH!R35+ÖNKORMÁNYZAT!R35</f>
        <v>0</v>
      </c>
      <c r="S35" s="55">
        <f>BÖLCSŐDE!S35+FALUHÁZ!R35+ÓVODA!S35+PMH!S35+ÖNKORMÁNYZAT!S35</f>
        <v>170331697</v>
      </c>
      <c r="T35" s="55">
        <f>BÖLCSŐDE!T35+FALUHÁZ!S35+ÓVODA!T35+PMH!T35+ÖNKORMÁNYZAT!T35</f>
        <v>170331697</v>
      </c>
      <c r="U35" s="55">
        <f>BÖLCSŐDE!U35+FALUHÁZ!T35+ÓVODA!U35+PMH!U35+ÖNKORMÁNYZAT!U35</f>
        <v>0</v>
      </c>
      <c r="V35" s="55">
        <f>BÖLCSŐDE!V35+FALUHÁZ!U35+ÓVODA!V35+PMH!V35+ÖNKORMÁNYZAT!V35</f>
        <v>0</v>
      </c>
      <c r="W35" s="55">
        <f>BÖLCSŐDE!W35+FALUHÁZ!V35+ÓVODA!W35+PMH!W35+ÖNKORMÁNYZAT!W35</f>
        <v>0</v>
      </c>
      <c r="X35" s="122"/>
      <c r="AA35" s="55">
        <f>BÖLCSŐDE!AA35+FALUHÁZ!Z35+ÓVODA!AA35+PMH!AA35+ÖNKORMÁNYZAT!AA35</f>
        <v>305479947</v>
      </c>
      <c r="AB35" s="55">
        <f>BÖLCSŐDE!AB35+FALUHÁZ!AA35+ÓVODA!AB35+PMH!AB35+ÖNKORMÁNYZAT!AB35</f>
        <v>316246459</v>
      </c>
      <c r="AC35" s="55">
        <f>BÖLCSŐDE!AB35+FALUHÁZ!AA35+ÓVODA!AB35+PMH!AB35+ÖNKORMÁNYZAT!AB35</f>
        <v>316246459</v>
      </c>
      <c r="AD35" s="55">
        <f>BÖLCSŐDE!AC35+FALUHÁZ!AB35+ÓVODA!AC35+PMH!AC35+ÖNKORMÁNYZAT!AC35</f>
        <v>316246459</v>
      </c>
      <c r="AE35" s="223">
        <f>BÖLCSŐDE!AE35+FALUHÁZ!AD35+ÓVODA!AE35+PMH!AE35+ÖNKORMÁNYZAT!AD35</f>
        <v>6631901</v>
      </c>
      <c r="AF35" s="122">
        <f t="shared" si="3"/>
        <v>103.52445785909477</v>
      </c>
      <c r="AG35" s="55">
        <f>BÖLCSŐDE!AG35+FALUHÁZ!AG35+ÓVODA!AG35+PMH!AG35+ÖNKORMÁNYZAT!AG35</f>
        <v>6631901</v>
      </c>
      <c r="AH35" s="55"/>
      <c r="AI35" s="55">
        <f>BÖLCSŐDE!AI35+FALUHÁZ!AJ35+ÓVODA!AI35+PMH!AI35+ÖNKORMÁNYZAT!AI35</f>
        <v>115000000</v>
      </c>
      <c r="AJ35" s="55"/>
      <c r="AK35" s="55">
        <f>BÖLCSŐDE!AL35+FALUHÁZ!AK35+ÓVODA!AK35+PMH!AK35+ÖNKORMÁNYZAT!AK35</f>
        <v>125782749</v>
      </c>
      <c r="AM35" s="55">
        <f>BÖLCSŐDE!AM35+FALUHÁZ!AM35+ÓVODA!AM35+PMH!AM35+ÖNKORMÁNYZAT!AM35</f>
        <v>316246459</v>
      </c>
      <c r="AN35" s="55">
        <f>BÖLCSŐDE!AN35+FALUHÁZ!AN35+ÓVODA!AP35+PMH!AN35+ÖNKORMÁNYZAT!AP35</f>
        <v>136058404</v>
      </c>
      <c r="AO35" s="55">
        <f>BÖLCSŐDE!AO35+FALUHÁZ!AO35+ÓVODA!AQ35+PMH!AO35+ÖNKORMÁNYZAT!AQ35</f>
        <v>136058304</v>
      </c>
      <c r="AP35" s="55">
        <f>BÖLCSŐDE!AP35+FALUHÁZ!AP35+ÓVODA!AP35+PMH!AP35+ÖNKORMÁNYZAT!AP35</f>
        <v>143720631</v>
      </c>
      <c r="AQ35" s="55">
        <f>BÖLCSŐDE!AQ35+FALUHÁZ!AQ35+ÓVODA!AQ35+PMH!AQ35+ÖNKORMÁNYZAT!AQ35</f>
        <v>143720531</v>
      </c>
      <c r="AR35" s="55">
        <f t="shared" si="4"/>
        <v>100</v>
      </c>
      <c r="AS35" s="54">
        <f t="shared" si="5"/>
        <v>99.999930420567111</v>
      </c>
      <c r="AT35" s="55">
        <f>BÖLCSŐDE!AT35+FALUHÁZ!AT35+ÓVODA!AT35+PMH!AT35+ÖNKORMÁNYZAT!AT35</f>
        <v>143720631</v>
      </c>
      <c r="AU35" s="55">
        <f t="shared" si="6"/>
        <v>0</v>
      </c>
      <c r="AV35" s="54">
        <f t="shared" si="7"/>
        <v>0</v>
      </c>
      <c r="AW35" s="55">
        <f>BÖLCSŐDE!AW35+FALUHÁZ!AW35+ÓVODA!AW35+PMH!AW35+ÖNKORMÁNYZAT!AW35</f>
        <v>128543676</v>
      </c>
      <c r="AX35" s="55">
        <f>BÖLCSŐDE!AX35+FALUHÁZ!AX35+ÓVODA!AX35+PMH!AX35+ÖNKORMÁNYZAT!AX35</f>
        <v>59823986</v>
      </c>
      <c r="AY35" s="55">
        <f>BÖLCSŐDE!AY35+FALUHÁZ!AY35+ÓVODA!AY35+PMH!AY35+ÖNKORMÁNYZAT!AY35</f>
        <v>59823986</v>
      </c>
      <c r="AZ35" s="55">
        <f>BÖLCSŐDE!AZ35+FALUHÁZ!AZ35+ÓVODA!AZ35+PMH!AZ35+ÖNKORMÁNYZAT!AZ35</f>
        <v>63868043</v>
      </c>
      <c r="BA35" s="55">
        <f>BÖLCSŐDE!BA35+FALUHÁZ!BA35+ÓVODA!BA35+PMH!BA35+ÖNKORMÁNYZAT!BA35</f>
        <v>63652535</v>
      </c>
      <c r="BB35" s="501">
        <f>BÖLCSŐDE!BB35+FALUHÁZ!BB35+ÓVODA!BB35+PMH!BB35+ÖNKORMÁNYZAT!BB35</f>
        <v>63868043</v>
      </c>
      <c r="BC35" s="501">
        <f>BÖLCSŐDE!BC35+FALUHÁZ!BC35+ÓVODA!BC35+PMH!BC35+ÖNKORMÁNYZAT!BC35</f>
        <v>73439849</v>
      </c>
      <c r="BD35" s="501">
        <f>BÖLCSŐDE!BD35+FALUHÁZ!BD35+ÓVODA!BD35+PMH!BD35+ÖNKORMÁNYZAT!BD35</f>
        <v>73439849</v>
      </c>
      <c r="BE35" s="501">
        <f>BÖLCSŐDE!BE35+FALUHÁZ!BE35+ÓVODA!BE35+PMH!BE35+ÖNKORMÁNYZAT!BE35</f>
        <v>73439849</v>
      </c>
      <c r="BF35" s="501">
        <f>BÖLCSŐDE!BF35+FALUHÁZ!BF35+ÓVODA!BF35+PMH!BF35+ÖNKORMÁNYZAT!BF35</f>
        <v>73439849</v>
      </c>
      <c r="BG35" s="383">
        <f>BÖLCSŐDE!BG35+FALUHÁZ!BG35+ÓVODA!BG35+PMH!BG35+ÖNKORMÁNYZAT!BG35</f>
        <v>88127818.799999997</v>
      </c>
      <c r="BH35" s="65">
        <f>BÖLCSŐDE!BH35+FALUHÁZ!BH35+ÓVODA!BH35+PMH!BH35+ÖNKORMÁNYZAT!BH35</f>
        <v>10898376</v>
      </c>
      <c r="BI35" s="65">
        <f>BÖLCSŐDE!BI35+FALUHÁZ!BI35+ÓVODA!BI35+PMH!BI35+ÖNKORMÁNYZAT!BI35</f>
        <v>42496181</v>
      </c>
      <c r="BJ35" s="65">
        <f>BÖLCSŐDE!BJ35+FALUHÁZ!BJ35+ÓVODA!BJ35+PMH!BJ35+ÖNKORMÁNYZAT!BJ35</f>
        <v>42496181</v>
      </c>
      <c r="BK35" s="65">
        <f>BÖLCSŐDE!BK35+FALUHÁZ!BK35+ÓVODA!BK35+PMH!BK35+ÖNKORMÁNYZAT!BK35</f>
        <v>42496181</v>
      </c>
      <c r="BL35" s="65">
        <f>BÖLCSŐDE!BL35+FALUHÁZ!BL35+ÓVODA!BL35+PMH!BL35+ÖNKORMÁNYZAT!BL35</f>
        <v>0</v>
      </c>
      <c r="BM35" s="65">
        <f>BÖLCSŐDE!BM35+FALUHÁZ!BM35+ÓVODA!BM35+PMH!BM35+ÖNKORMÁNYZAT!BM35</f>
        <v>311680191</v>
      </c>
      <c r="BN35" s="65">
        <f>BÖLCSŐDE!BN35+FALUHÁZ!BN35+ÓVODA!BN35+PMH!BN35+ÖNKORMÁNYZAT!BN35</f>
        <v>311680191</v>
      </c>
      <c r="BO35" s="65">
        <f>BÖLCSŐDE!BO35+FALUHÁZ!BO35+ÓVODA!BO35+PMH!BO35+ÖNKORMÁNYZAT!BO35</f>
        <v>386946281</v>
      </c>
      <c r="BP35" s="65">
        <f>BÖLCSŐDE!BP35+FALUHÁZ!BP35+ÓVODA!BP35+PMH!BP35+ÖNKORMÁNYZAT!BP35</f>
        <v>386946281</v>
      </c>
      <c r="BQ35" s="65">
        <f>BÖLCSŐDE!BQ35+FALUHÁZ!BQ35+ÓVODA!BQ35+PMH!BQ35+ÖNKORMÁNYZAT!BQ35</f>
        <v>968311513</v>
      </c>
      <c r="BR35" s="65">
        <f>BÖLCSŐDE!BR35+FALUHÁZ!BR35+ÓVODA!BR35+PMH!BR35+ÖNKORMÁNYZAT!BR35</f>
        <v>968311513</v>
      </c>
      <c r="BS35" s="65">
        <f>BÖLCSŐDE!BS35+FALUHÁZ!BS35+ÓVODA!BS35+PMH!BS35+ÖNKORMÁNYZAT!BS35</f>
        <v>921392371</v>
      </c>
      <c r="BT35" s="65">
        <f>BÖLCSŐDE!BT35+FALUHÁZ!BT35+ÓVODA!BT35+PMH!BT35+ÖNKORMÁNYZAT!BT35</f>
        <v>919013647</v>
      </c>
      <c r="BU35" s="65">
        <f>BÖLCSŐDE!BU35+FALUHÁZ!BU35+ÓVODA!BU35+PMH!BU35+ÖNKORMÁNYZAT!BU35</f>
        <v>76457565</v>
      </c>
      <c r="BV35" s="890">
        <f>BÖLCSŐDE!BV35+FALUHÁZ!BV35+ÓVODA!BV35+PMH!BV35+ÖNKORMÁNYZAT!BV35</f>
        <v>0</v>
      </c>
    </row>
    <row r="36" spans="1:92" x14ac:dyDescent="0.25">
      <c r="A36" s="54">
        <v>814</v>
      </c>
      <c r="B36" s="55" t="s">
        <v>442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O36" s="55"/>
      <c r="P36" s="55"/>
      <c r="Q36" s="55"/>
      <c r="R36" s="55"/>
      <c r="S36" s="55"/>
      <c r="T36" s="55"/>
      <c r="U36" s="55"/>
      <c r="V36" s="55"/>
      <c r="W36" s="55"/>
      <c r="X36" s="122"/>
      <c r="AA36" s="55"/>
      <c r="AB36" s="55"/>
      <c r="AC36" s="55">
        <f>BÖLCSŐDE!AB36+FALUHÁZ!AA36+ÓVODA!AB36+PMH!AB36+ÖNKORMÁNYZAT!AB36</f>
        <v>0</v>
      </c>
      <c r="AD36" s="55">
        <f>BÖLCSŐDE!AC36+FALUHÁZ!AB36+ÓVODA!AC36+PMH!AC36+ÖNKORMÁNYZAT!AC36</f>
        <v>748354</v>
      </c>
      <c r="AE36" s="223">
        <f>BÖLCSŐDE!AE36+FALUHÁZ!AD36+ÓVODA!AE36+PMH!AE36+ÖNKORMÁNYZAT!AD36</f>
        <v>0</v>
      </c>
      <c r="AF36" s="122"/>
      <c r="AG36" s="55">
        <f>BÖLCSŐDE!AG36+FALUHÁZ!AG36+ÓVODA!AG36+PMH!AG36+ÖNKORMÁNYZAT!AG36</f>
        <v>0</v>
      </c>
      <c r="AH36" s="55"/>
      <c r="AI36" s="55">
        <f>BÖLCSŐDE!AI36+FALUHÁZ!AJ36+ÓVODA!AI36+PMH!AI36+ÖNKORMÁNYZAT!AI36</f>
        <v>0</v>
      </c>
      <c r="AJ36" s="55"/>
      <c r="AK36" s="55">
        <f>BÖLCSŐDE!AL36+FALUHÁZ!AK36+ÓVODA!AK36+PMH!AK36+ÖNKORMÁNYZAT!AK36</f>
        <v>0</v>
      </c>
      <c r="AM36" s="55">
        <f>BÖLCSŐDE!AM36+FALUHÁZ!AM36+ÓVODA!AM36+PMH!AM36+ÖNKORMÁNYZAT!AM36</f>
        <v>10553449</v>
      </c>
      <c r="AN36" s="55">
        <f>BÖLCSŐDE!AN36+FALUHÁZ!AN36+ÓVODA!AP36+PMH!AN36+ÖNKORMÁNYZAT!AP36</f>
        <v>0</v>
      </c>
      <c r="AO36" s="55">
        <f>BÖLCSŐDE!AO36+FALUHÁZ!AO36+ÓVODA!AQ36+PMH!AO36+ÖNKORMÁNYZAT!AQ36</f>
        <v>307213</v>
      </c>
      <c r="AP36" s="55">
        <f>BÖLCSŐDE!AP36+FALUHÁZ!AP36+ÓVODA!AP36+PMH!AP36+ÖNKORMÁNYZAT!AP36</f>
        <v>0</v>
      </c>
      <c r="AQ36" s="55">
        <f>BÖLCSŐDE!AQ36+FALUHÁZ!AQ36+ÓVODA!AQ36+PMH!AQ36+ÖNKORMÁNYZAT!AQ36</f>
        <v>307213</v>
      </c>
      <c r="AR36" s="55">
        <f t="shared" si="4"/>
        <v>-307213</v>
      </c>
      <c r="AS36" s="54"/>
      <c r="AT36" s="55">
        <f>BÖLCSŐDE!AT36+FALUHÁZ!AT36+ÓVODA!AT36+PMH!AT36+ÖNKORMÁNYZAT!AT36</f>
        <v>307213</v>
      </c>
      <c r="AU36" s="55"/>
      <c r="AV36" s="54"/>
      <c r="AW36" s="55">
        <f>BÖLCSŐDE!AW36+FALUHÁZ!AW36+ÓVODA!AW36+PMH!AW36+ÖNKORMÁNYZAT!AW36</f>
        <v>0</v>
      </c>
      <c r="AX36" s="55">
        <f>BÖLCSŐDE!AX36+FALUHÁZ!AX36+ÓVODA!AX36+PMH!AX36+ÖNKORMÁNYZAT!AX36</f>
        <v>0</v>
      </c>
      <c r="AY36" s="55">
        <f>BÖLCSŐDE!AY36+FALUHÁZ!AY36+ÓVODA!AY36+PMH!AY36+ÖNKORMÁNYZAT!AY36</f>
        <v>6000000</v>
      </c>
      <c r="AZ36" s="55">
        <f>BÖLCSŐDE!AZ36+FALUHÁZ!AZ36+ÓVODA!AZ36+PMH!AZ36+ÖNKORMÁNYZAT!AZ36</f>
        <v>0</v>
      </c>
      <c r="BA36" s="55">
        <f>BÖLCSŐDE!BA36+FALUHÁZ!BA36+ÓVODA!BA36+PMH!BA36+ÖNKORMÁNYZAT!BA36</f>
        <v>0</v>
      </c>
      <c r="BB36" s="501">
        <f>BÖLCSŐDE!BB36+FALUHÁZ!BB36+ÓVODA!BB36+PMH!BB36+ÖNKORMÁNYZAT!BB36</f>
        <v>0</v>
      </c>
      <c r="BC36" s="501">
        <f>BÖLCSŐDE!BC36+FALUHÁZ!BC36+ÓVODA!BC36+PMH!BC36+ÖNKORMÁNYZAT!BC36</f>
        <v>11681293</v>
      </c>
      <c r="BD36" s="501">
        <f>BÖLCSŐDE!BD36+FALUHÁZ!BD36+ÓVODA!BD36+PMH!BD36+ÖNKORMÁNYZAT!BD36</f>
        <v>11681293</v>
      </c>
      <c r="BE36" s="501">
        <f>BÖLCSŐDE!BE36+FALUHÁZ!BE36+ÓVODA!BE36+PMH!BE36+ÖNKORMÁNYZAT!BE36</f>
        <v>11681293</v>
      </c>
      <c r="BF36" s="501">
        <f>BÖLCSŐDE!BF36+FALUHÁZ!BF36+ÓVODA!BF36+PMH!BF36+ÖNKORMÁNYZAT!BF36</f>
        <v>12147503</v>
      </c>
      <c r="BG36" s="383">
        <f>BÖLCSŐDE!BG36+FALUHÁZ!BG36+ÓVODA!BG36+PMH!BG36+ÖNKORMÁNYZAT!BG36</f>
        <v>14577003.600000001</v>
      </c>
      <c r="BH36" s="65">
        <f>BÖLCSŐDE!BH36+FALUHÁZ!BH36+ÓVODA!BH36+PMH!BH36+ÖNKORMÁNYZAT!BH36</f>
        <v>0</v>
      </c>
      <c r="BI36" s="65">
        <f>BÖLCSŐDE!BI36+FALUHÁZ!BI36+ÓVODA!BI36+PMH!BI36+ÖNKORMÁNYZAT!BI36</f>
        <v>0</v>
      </c>
      <c r="BJ36" s="65">
        <f>BÖLCSŐDE!BJ36+FALUHÁZ!BJ36+ÓVODA!BJ36+PMH!BJ36+ÖNKORMÁNYZAT!BJ36</f>
        <v>0</v>
      </c>
      <c r="BK36" s="65">
        <f>BÖLCSŐDE!BK36+FALUHÁZ!BK36+ÓVODA!BK36+PMH!BK36+ÖNKORMÁNYZAT!BK36</f>
        <v>0</v>
      </c>
      <c r="BL36" s="65">
        <f>BÖLCSŐDE!BL36+FALUHÁZ!BL36+ÓVODA!BL36+PMH!BL36+ÖNKORMÁNYZAT!BL36</f>
        <v>0</v>
      </c>
      <c r="BM36" s="65">
        <f>BÖLCSŐDE!BM36+FALUHÁZ!BM36+ÓVODA!BM36+PMH!BM36+ÖNKORMÁNYZAT!BM36</f>
        <v>0</v>
      </c>
      <c r="BN36" s="65">
        <f>BÖLCSŐDE!BN36+FALUHÁZ!BN36+ÓVODA!BN36+PMH!BN36+ÖNKORMÁNYZAT!BN36</f>
        <v>0</v>
      </c>
      <c r="BO36" s="65">
        <f>BÖLCSŐDE!BO36+FALUHÁZ!BO36+ÓVODA!BO36+PMH!BO36+ÖNKORMÁNYZAT!BO36</f>
        <v>0</v>
      </c>
      <c r="BP36" s="65">
        <f>BÖLCSŐDE!BP36+FALUHÁZ!BP36+ÓVODA!BP36+PMH!BP36+ÖNKORMÁNYZAT!BP36</f>
        <v>0</v>
      </c>
      <c r="BQ36" s="65">
        <f>BÖLCSŐDE!BQ36+FALUHÁZ!BQ36+ÓVODA!BQ36+PMH!BQ36+ÖNKORMÁNYZAT!BQ36</f>
        <v>0</v>
      </c>
      <c r="BR36" s="65">
        <f>BÖLCSŐDE!BR36+FALUHÁZ!BR36+ÓVODA!BR36+PMH!BR36+ÖNKORMÁNYZAT!BR36</f>
        <v>0</v>
      </c>
      <c r="BS36" s="65">
        <f>BÖLCSŐDE!BS36+FALUHÁZ!BS36+ÓVODA!BS36+PMH!BS36+ÖNKORMÁNYZAT!BS36</f>
        <v>0</v>
      </c>
      <c r="BT36" s="65">
        <f>BÖLCSŐDE!BT36+FALUHÁZ!BT36+ÓVODA!BT36+PMH!BT36+ÖNKORMÁNYZAT!BT36</f>
        <v>0</v>
      </c>
      <c r="BU36" s="65">
        <f>BÖLCSŐDE!BU36+FALUHÁZ!BU36+ÓVODA!BU36+PMH!BU36+ÖNKORMÁNYZAT!BU36</f>
        <v>0</v>
      </c>
      <c r="BV36" s="65">
        <f>BÖLCSŐDE!BV36+FALUHÁZ!BV36+ÓVODA!BV36+PMH!BV36+ÖNKORMÁNYZAT!BV36</f>
        <v>0</v>
      </c>
    </row>
    <row r="37" spans="1:92" x14ac:dyDescent="0.25">
      <c r="A37" s="54" t="s">
        <v>28</v>
      </c>
      <c r="B37" s="58" t="s">
        <v>197</v>
      </c>
      <c r="C37" s="55">
        <f>BÖLCSŐDE!C37+FALUHÁZ!C37+ÓVODA!C37+PMH!C37+ÖNKORMÁNYZAT!C37</f>
        <v>193731996</v>
      </c>
      <c r="D37" s="55">
        <f>BÖLCSŐDE!D37+FALUHÁZ!D37+ÓVODA!D37+PMH!D37+ÖNKORMÁNYZAT!D37</f>
        <v>226477632</v>
      </c>
      <c r="E37" s="55">
        <f>BÖLCSŐDE!E37+FALUHÁZ!E37+ÓVODA!E37+PMH!E37+ÖNKORMÁNYZAT!E37</f>
        <v>266034124</v>
      </c>
      <c r="F37" s="55">
        <f>BÖLCSŐDE!F37+FALUHÁZ!F37+ÓVODA!F37+PMH!F37+ÖNKORMÁNYZAT!F37</f>
        <v>202103319</v>
      </c>
      <c r="G37" s="55">
        <f>BÖLCSŐDE!G37+FALUHÁZ!G37+ÓVODA!G37+PMH!G37+ÖNKORMÁNYZAT!G37</f>
        <v>266434125</v>
      </c>
      <c r="H37" s="55">
        <f>BÖLCSŐDE!H37+FALUHÁZ!H37+ÓVODA!H37+PMH!H37+ÖNKORMÁNYZAT!H37</f>
        <v>223140997</v>
      </c>
      <c r="I37" s="55">
        <f t="shared" si="0"/>
        <v>243426542.18181819</v>
      </c>
      <c r="J37" s="55">
        <v>295545966.01007873</v>
      </c>
      <c r="K37" s="55">
        <v>284879639.21674538</v>
      </c>
      <c r="L37" s="55" t="e">
        <f>BÖLCSŐDE!L37+FALUHÁZ!L37+ÓVODA!L37+PMH!L37+ÖNKORMÁNYZAT!L37</f>
        <v>#REF!</v>
      </c>
      <c r="M37" s="1" t="e">
        <f t="shared" si="1"/>
        <v>#REF!</v>
      </c>
      <c r="O37" s="55">
        <f>BÖLCSŐDE!O37+FALUHÁZ!N37+ÓVODA!O37+PMH!O37+ÖNKORMÁNYZAT!O37</f>
        <v>296585908</v>
      </c>
      <c r="P37" s="55">
        <f>BÖLCSŐDE!P37+FALUHÁZ!O37+ÓVODA!P37+PMH!P37+ÖNKORMÁNYZAT!P37</f>
        <v>212194637</v>
      </c>
      <c r="Q37" s="55">
        <f>BÖLCSŐDE!Q37+FALUHÁZ!P37+ÓVODA!Q37+PMH!Q37+ÖNKORMÁNYZAT!Q37</f>
        <v>250868377</v>
      </c>
      <c r="R37" s="55">
        <f>BÖLCSŐDE!R37+FALUHÁZ!Q37+ÓVODA!R37+PMH!R37+ÖNKORMÁNYZAT!R37</f>
        <v>321765166.47109997</v>
      </c>
      <c r="S37" s="55">
        <f>BÖLCSŐDE!S37+FALUHÁZ!R37+ÓVODA!S37+PMH!S37+ÖNKORMÁNYZAT!S37</f>
        <v>298079908</v>
      </c>
      <c r="T37" s="55">
        <f>BÖLCSŐDE!T37+FALUHÁZ!S37+ÓVODA!T37+PMH!T37+ÖNKORMÁNYZAT!T37</f>
        <v>297626468</v>
      </c>
      <c r="U37" s="55">
        <f>BÖLCSŐDE!U37+FALUHÁZ!T37+ÓVODA!U37+PMH!U37+ÖNKORMÁNYZAT!U37</f>
        <v>336937827.18000001</v>
      </c>
      <c r="V37" s="55">
        <f>BÖLCSŐDE!V37+FALUHÁZ!U37+ÓVODA!V37+PMH!V37+ÖNKORMÁNYZAT!V37</f>
        <v>322445827.18000001</v>
      </c>
      <c r="W37" s="55">
        <f>BÖLCSŐDE!W37+FALUHÁZ!V37+ÓVODA!W37+PMH!W37+ÖNKORMÁNYZAT!W37</f>
        <v>315086102.18000001</v>
      </c>
      <c r="X37" s="122">
        <f t="shared" si="2"/>
        <v>92.302781711563284</v>
      </c>
      <c r="AA37" s="55">
        <f>BÖLCSŐDE!AA37+FALUHÁZ!Z37+ÓVODA!AA37+PMH!AA37+ÖNKORMÁNYZAT!AA37</f>
        <v>315192092.18000001</v>
      </c>
      <c r="AB37" s="55">
        <f>BÖLCSŐDE!AB37+FALUHÁZ!AA37+ÓVODA!AB37+PMH!AB37+ÖNKORMÁNYZAT!AB37</f>
        <v>151766133</v>
      </c>
      <c r="AC37" s="55">
        <f>BÖLCSŐDE!AB37+FALUHÁZ!AA37+ÓVODA!AB37+PMH!AB37+ÖNKORMÁNYZAT!AB37</f>
        <v>151766133</v>
      </c>
      <c r="AD37" s="55">
        <f>BÖLCSŐDE!AC37+FALUHÁZ!AB37+ÓVODA!AC37+PMH!AC37+ÖNKORMÁNYZAT!AC37</f>
        <v>200900283</v>
      </c>
      <c r="AE37" s="223" t="e">
        <f>BÖLCSŐDE!AE37+FALUHÁZ!AD37+ÓVODA!AE37+PMH!AE37+ÖNKORMÁNYZAT!AD37</f>
        <v>#DIV/0!</v>
      </c>
      <c r="AF37" s="122">
        <f t="shared" si="3"/>
        <v>63.738998529591854</v>
      </c>
      <c r="AG37" s="55">
        <f>BÖLCSŐDE!AG37+FALUHÁZ!AG37+ÓVODA!AG37+PMH!AG37+ÖNKORMÁNYZAT!AG37</f>
        <v>256266542</v>
      </c>
      <c r="AH37" s="55"/>
      <c r="AI37" s="55">
        <f>BÖLCSŐDE!AI37+FALUHÁZ!AJ37+ÓVODA!AI37+PMH!AI37+ÖNKORMÁNYZAT!AI37</f>
        <v>324601203.53600001</v>
      </c>
      <c r="AJ37" s="55"/>
      <c r="AK37" s="55">
        <f>BÖLCSŐDE!AL37+FALUHÁZ!AK37+ÓVODA!AK37+PMH!AK37+ÖNKORMÁNYZAT!AK37</f>
        <v>365824430.73899996</v>
      </c>
      <c r="AM37" s="55">
        <f>BÖLCSŐDE!AM37+FALUHÁZ!AM37+ÓVODA!AM37+PMH!AM37+ÖNKORMÁNYZAT!AM37</f>
        <v>312317639</v>
      </c>
      <c r="AN37" s="55">
        <f>BÖLCSŐDE!AN37+FALUHÁZ!AN37+ÓVODA!AP37+PMH!AN37+ÖNKORMÁNYZAT!AP37</f>
        <v>355997988</v>
      </c>
      <c r="AO37" s="55">
        <f>BÖLCSŐDE!AO37+FALUHÁZ!AO37+ÓVODA!AQ37+PMH!AO37+ÖNKORMÁNYZAT!AQ37</f>
        <v>207671204</v>
      </c>
      <c r="AP37" s="55">
        <f>BÖLCSŐDE!AP37+FALUHÁZ!AP37+ÓVODA!AP37+PMH!AP37+ÖNKORMÁNYZAT!AP37</f>
        <v>348335761</v>
      </c>
      <c r="AQ37" s="55">
        <f>BÖLCSŐDE!AQ37+FALUHÁZ!AQ37+ÓVODA!AQ37+PMH!AQ37+ÖNKORMÁNYZAT!AQ37</f>
        <v>258570978</v>
      </c>
      <c r="AR37" s="55">
        <f t="shared" si="4"/>
        <v>89764783</v>
      </c>
      <c r="AS37" s="54">
        <f t="shared" si="5"/>
        <v>74.230385435505141</v>
      </c>
      <c r="AT37" s="55">
        <f>BÖLCSŐDE!AT37+FALUHÁZ!AT37+ÓVODA!AT37+PMH!AT37+ÖNKORMÁNYZAT!AT37</f>
        <v>282261056</v>
      </c>
      <c r="AU37" s="55">
        <f t="shared" si="6"/>
        <v>66074705</v>
      </c>
      <c r="AV37" s="54">
        <f t="shared" si="7"/>
        <v>18.968682632616638</v>
      </c>
      <c r="AW37" s="55">
        <f>BÖLCSŐDE!AW37+FALUHÁZ!AW37+ÓVODA!AW37+PMH!AW37+ÖNKORMÁNYZAT!AW37</f>
        <v>369567358.37</v>
      </c>
      <c r="AX37" s="55">
        <f>BÖLCSŐDE!AX37+FALUHÁZ!AX37+ÓVODA!AX37+PMH!AX37+ÖNKORMÁNYZAT!AX37</f>
        <v>387677683.49599999</v>
      </c>
      <c r="AY37" s="55">
        <f>BÖLCSŐDE!AY37+FALUHÁZ!AY37+ÓVODA!AY37+PMH!AY37+ÖNKORMÁNYZAT!AY37</f>
        <v>379887960.45599997</v>
      </c>
      <c r="AZ37" s="55">
        <f>BÖLCSŐDE!AZ37+FALUHÁZ!AZ37+ÓVODA!AZ37+PMH!AZ37+ÖNKORMÁNYZAT!AZ37</f>
        <v>375929921.41999996</v>
      </c>
      <c r="BA37" s="55">
        <f>BÖLCSŐDE!BA37+FALUHÁZ!BA37+ÓVODA!BA37+PMH!BA37+ÖNKORMÁNYZAT!BA37</f>
        <v>393499744.0200001</v>
      </c>
      <c r="BB37" s="501">
        <f>BÖLCSŐDE!BB37+FALUHÁZ!BB37+ÓVODA!BB37+PMH!BB37+ÖNKORMÁNYZAT!BB37</f>
        <v>379264779</v>
      </c>
      <c r="BC37" s="501">
        <f>BÖLCSŐDE!BC37+FALUHÁZ!BC37+ÓVODA!BC37+PMH!BC37+ÖNKORMÁNYZAT!BC37</f>
        <v>379264779</v>
      </c>
      <c r="BD37" s="501">
        <f>BÖLCSŐDE!BD37+FALUHÁZ!BD37+ÓVODA!BD37+PMH!BD37+ÖNKORMÁNYZAT!BD37</f>
        <v>205889155</v>
      </c>
      <c r="BE37" s="501">
        <f>BÖLCSŐDE!BE37+FALUHÁZ!BE37+ÓVODA!BE37+PMH!BE37+ÖNKORMÁNYZAT!BE37</f>
        <v>262013854</v>
      </c>
      <c r="BF37" s="501">
        <f>BÖLCSŐDE!BF37+FALUHÁZ!BF37+ÓVODA!BF37+PMH!BF37+ÖNKORMÁNYZAT!BF37</f>
        <v>290886632</v>
      </c>
      <c r="BG37" s="383">
        <f>BÖLCSŐDE!BG37+FALUHÁZ!BG37+ÓVODA!BG37+PMH!BG37+ÖNKORMÁNYZAT!BG37</f>
        <v>349063958.39999998</v>
      </c>
      <c r="BH37" s="65">
        <f>BÖLCSŐDE!BH37+FALUHÁZ!BH37+ÓVODA!BH37+PMH!BH37+ÖNKORMÁNYZAT!BH37</f>
        <v>427858239</v>
      </c>
      <c r="BI37" s="65">
        <f>BÖLCSŐDE!BI37+FALUHÁZ!BI37+ÓVODA!BI37+PMH!BI37+ÖNKORMÁNYZAT!BI37</f>
        <v>429682668</v>
      </c>
      <c r="BJ37" s="65">
        <f>BÖLCSŐDE!BJ37+FALUHÁZ!BJ37+ÓVODA!BJ37+PMH!BJ37+ÖNKORMÁNYZAT!BJ37</f>
        <v>186419348</v>
      </c>
      <c r="BK37" s="65">
        <f>BÖLCSŐDE!BK37+FALUHÁZ!BK37+ÓVODA!BK37+PMH!BK37+ÖNKORMÁNYZAT!BK37</f>
        <v>314566183</v>
      </c>
      <c r="BL37" s="65">
        <f>BÖLCSŐDE!BL37+FALUHÁZ!BL37+ÓVODA!BL37+PMH!BL37+ÖNKORMÁNYZAT!BL37</f>
        <v>399521644</v>
      </c>
      <c r="BM37" s="65">
        <f>BÖLCSŐDE!BM37+FALUHÁZ!BM37+ÓVODA!BM37+PMH!BM37+ÖNKORMÁNYZAT!BM37</f>
        <v>482776266</v>
      </c>
      <c r="BN37" s="65">
        <f>BÖLCSŐDE!BN37+FALUHÁZ!BN37+ÓVODA!BN37+PMH!BN37+ÖNKORMÁNYZAT!BN37</f>
        <v>482776266</v>
      </c>
      <c r="BO37" s="65">
        <f>BÖLCSŐDE!BO37+FALUHÁZ!BO37+ÓVODA!BO37+PMH!BO37+ÖNKORMÁNYZAT!BO37</f>
        <v>354548256</v>
      </c>
      <c r="BP37" s="65">
        <f>BÖLCSŐDE!BP37+FALUHÁZ!BP37+ÓVODA!BP37+PMH!BP37+ÖNKORMÁNYZAT!BP37</f>
        <v>415095739</v>
      </c>
      <c r="BQ37" s="65">
        <f>BÖLCSŐDE!BQ37+FALUHÁZ!BQ37+ÓVODA!BQ37+PMH!BQ37+ÖNKORMÁNYZAT!BQ37</f>
        <v>515052347</v>
      </c>
      <c r="BR37" s="65">
        <f>BÖLCSŐDE!BR37+FALUHÁZ!BR37+ÓVODA!BR37+PMH!BR37+ÖNKORMÁNYZAT!BR37</f>
        <v>537267472</v>
      </c>
      <c r="BS37" s="65">
        <f>BÖLCSŐDE!BS37+FALUHÁZ!BS37+ÓVODA!BS37+PMH!BS37+ÖNKORMÁNYZAT!BS37</f>
        <v>570078024</v>
      </c>
      <c r="BT37" s="65">
        <f>BÖLCSŐDE!BT37+FALUHÁZ!BT37+ÓVODA!BT37+PMH!BT37+ÖNKORMÁNYZAT!BT37</f>
        <v>555086115</v>
      </c>
      <c r="BU37" s="65">
        <f>BÖLCSŐDE!BU37+FALUHÁZ!BU37+ÓVODA!BU37+PMH!BU37+ÖNKORMÁNYZAT!BU37</f>
        <v>654260807</v>
      </c>
      <c r="BV37" s="65">
        <f>BÖLCSŐDE!BV37+FALUHÁZ!BV37+ÓVODA!BV37+PMH!BV37+ÖNKORMÁNYZAT!BV37</f>
        <v>701359601</v>
      </c>
    </row>
    <row r="38" spans="1:92" x14ac:dyDescent="0.25">
      <c r="A38" s="54" t="s">
        <v>29</v>
      </c>
      <c r="B38" s="55"/>
      <c r="C38" s="55">
        <f>BÖLCSŐDE!C38+FALUHÁZ!C38+ÓVODA!C38+PMH!C38+ÖNKORMÁNYZAT!C38</f>
        <v>0</v>
      </c>
      <c r="D38" s="55">
        <f>BÖLCSŐDE!D38+FALUHÁZ!D38+ÓVODA!D38+PMH!D38+ÖNKORMÁNYZAT!D38</f>
        <v>0</v>
      </c>
      <c r="E38" s="55">
        <f>BÖLCSŐDE!E38+FALUHÁZ!E38+ÓVODA!E38+PMH!E38+ÖNKORMÁNYZAT!E38</f>
        <v>0</v>
      </c>
      <c r="F38" s="55">
        <f>BÖLCSŐDE!F38+FALUHÁZ!F38+ÓVODA!F38+PMH!F38+ÖNKORMÁNYZAT!F38</f>
        <v>0</v>
      </c>
      <c r="G38" s="55">
        <f>BÖLCSŐDE!G38+FALUHÁZ!G38+ÓVODA!G38+PMH!G38+ÖNKORMÁNYZAT!G38</f>
        <v>0</v>
      </c>
      <c r="H38" s="55">
        <f>BÖLCSŐDE!H38+FALUHÁZ!H38+ÓVODA!H38+PMH!H38+ÖNKORMÁNYZAT!H38</f>
        <v>0</v>
      </c>
      <c r="I38" s="55">
        <f t="shared" si="0"/>
        <v>0</v>
      </c>
      <c r="J38" s="55">
        <v>0</v>
      </c>
      <c r="K38" s="55">
        <v>0</v>
      </c>
      <c r="L38" s="55">
        <f>BÖLCSŐDE!L38+FALUHÁZ!L38+ÓVODA!L38+PMH!L38+ÖNKORMÁNYZAT!L38</f>
        <v>0</v>
      </c>
      <c r="M38" s="1">
        <f t="shared" si="1"/>
        <v>0</v>
      </c>
      <c r="O38" s="55">
        <f>BÖLCSŐDE!O38+FALUHÁZ!N38+ÓVODA!O38+PMH!O38+ÖNKORMÁNYZAT!O38</f>
        <v>0</v>
      </c>
      <c r="P38" s="55">
        <f>BÖLCSŐDE!P38+FALUHÁZ!O38+ÓVODA!P38+PMH!P38+ÖNKORMÁNYZAT!P38</f>
        <v>0</v>
      </c>
      <c r="Q38" s="55">
        <f>BÖLCSŐDE!Q38+FALUHÁZ!P38+ÓVODA!Q38+PMH!Q38+ÖNKORMÁNYZAT!Q38</f>
        <v>0</v>
      </c>
      <c r="R38" s="55">
        <f>BÖLCSŐDE!R38+FALUHÁZ!Q38+ÓVODA!R38+PMH!R38+ÖNKORMÁNYZAT!R38</f>
        <v>0</v>
      </c>
      <c r="S38" s="55">
        <f>BÖLCSŐDE!S38+FALUHÁZ!R38+ÓVODA!S38+PMH!S38+ÖNKORMÁNYZAT!S38</f>
        <v>0</v>
      </c>
      <c r="T38" s="55">
        <f>BÖLCSŐDE!T38+FALUHÁZ!S38+ÓVODA!T38+PMH!T38+ÖNKORMÁNYZAT!T38</f>
        <v>0</v>
      </c>
      <c r="U38" s="55">
        <f>BÖLCSŐDE!U38+FALUHÁZ!T38+ÓVODA!U38+PMH!U38+ÖNKORMÁNYZAT!U38</f>
        <v>0</v>
      </c>
      <c r="V38" s="55">
        <f>BÖLCSŐDE!V38+FALUHÁZ!U38+ÓVODA!V38+PMH!V38+ÖNKORMÁNYZAT!V38</f>
        <v>0</v>
      </c>
      <c r="W38" s="55">
        <f>BÖLCSŐDE!W38+FALUHÁZ!V38+ÓVODA!W38+PMH!W38+ÖNKORMÁNYZAT!W38</f>
        <v>0</v>
      </c>
      <c r="X38" s="122"/>
      <c r="AA38" s="55">
        <f>BÖLCSŐDE!AA38+FALUHÁZ!Z38+ÓVODA!AA38+PMH!AA38+ÖNKORMÁNYZAT!AA38</f>
        <v>0</v>
      </c>
      <c r="AB38" s="55">
        <f>BÖLCSŐDE!AB38+FALUHÁZ!AA38+ÓVODA!AB38+PMH!AB38+ÖNKORMÁNYZAT!AB38</f>
        <v>0</v>
      </c>
      <c r="AC38" s="55">
        <f>BÖLCSŐDE!AB38+FALUHÁZ!AA38+ÓVODA!AB38+PMH!AB38+ÖNKORMÁNYZAT!AB38</f>
        <v>0</v>
      </c>
      <c r="AD38" s="55">
        <f>BÖLCSŐDE!AC38+FALUHÁZ!AB38+ÓVODA!AC38+PMH!AC38+ÖNKORMÁNYZAT!AC38</f>
        <v>0</v>
      </c>
      <c r="AE38" s="223">
        <f>BÖLCSŐDE!AE38+FALUHÁZ!AD38+ÓVODA!AE38+PMH!AE38+ÖNKORMÁNYZAT!AD38</f>
        <v>0</v>
      </c>
      <c r="AF38" s="122"/>
      <c r="AG38" s="55">
        <f>BÖLCSŐDE!AG38+FALUHÁZ!AG38+ÓVODA!AG38+PMH!AG38+ÖNKORMÁNYZAT!AG38</f>
        <v>0</v>
      </c>
      <c r="AH38" s="55"/>
      <c r="AI38" s="55">
        <f>BÖLCSŐDE!AI38+FALUHÁZ!AJ38+ÓVODA!AI38+PMH!AI38+ÖNKORMÁNYZAT!AI38</f>
        <v>0</v>
      </c>
      <c r="AJ38" s="55"/>
      <c r="AK38" s="55">
        <f>BÖLCSŐDE!AL38+FALUHÁZ!AK38+ÓVODA!AK38+PMH!AK38+ÖNKORMÁNYZAT!AK38</f>
        <v>0</v>
      </c>
      <c r="AM38" s="55">
        <f>BÖLCSŐDE!AM38+FALUHÁZ!AM38+ÓVODA!AM38+PMH!AM38+ÖNKORMÁNYZAT!AM38</f>
        <v>0</v>
      </c>
      <c r="AN38" s="55">
        <f>BÖLCSŐDE!AN38+FALUHÁZ!AN38+ÓVODA!AP38+PMH!AN38+ÖNKORMÁNYZAT!AP38</f>
        <v>0</v>
      </c>
      <c r="AO38" s="55">
        <f>BÖLCSŐDE!AO38+FALUHÁZ!AO38+ÓVODA!AQ38+PMH!AO38+ÖNKORMÁNYZAT!AQ38</f>
        <v>0</v>
      </c>
      <c r="AP38" s="55">
        <f>BÖLCSŐDE!AP38+FALUHÁZ!AP38+ÓVODA!AP38+PMH!AP38+ÖNKORMÁNYZAT!AP38</f>
        <v>0</v>
      </c>
      <c r="AQ38" s="55">
        <f>BÖLCSŐDE!AQ38+FALUHÁZ!AQ38+ÓVODA!AQ38+PMH!AQ38+ÖNKORMÁNYZAT!AQ38</f>
        <v>0</v>
      </c>
      <c r="AR38" s="55">
        <f t="shared" si="4"/>
        <v>0</v>
      </c>
      <c r="AS38" s="54"/>
      <c r="AT38" s="55">
        <f>BÖLCSŐDE!AT38+FALUHÁZ!AT38+ÓVODA!AT38+PMH!AT38+ÖNKORMÁNYZAT!AT38</f>
        <v>0</v>
      </c>
      <c r="AU38" s="55"/>
      <c r="AV38" s="54"/>
      <c r="AW38" s="55">
        <f>BÖLCSŐDE!AW38+FALUHÁZ!AW38+ÓVODA!AW38+PMH!AW38+ÖNKORMÁNYZAT!AW38</f>
        <v>0</v>
      </c>
      <c r="AX38" s="55">
        <f>BÖLCSŐDE!AX38+FALUHÁZ!AX38+ÓVODA!AX38+PMH!AX38+ÖNKORMÁNYZAT!AX38</f>
        <v>0</v>
      </c>
      <c r="AY38" s="55">
        <f>BÖLCSŐDE!AY38+FALUHÁZ!AY38+ÓVODA!AY38+PMH!AY38+ÖNKORMÁNYZAT!AY38</f>
        <v>0</v>
      </c>
      <c r="AZ38" s="55">
        <f>BÖLCSŐDE!AZ38+FALUHÁZ!AZ38+ÓVODA!AZ38+PMH!AZ38+ÖNKORMÁNYZAT!AZ38</f>
        <v>0</v>
      </c>
      <c r="BA38" s="55">
        <f>BÖLCSŐDE!BA38+FALUHÁZ!BA38+ÓVODA!BA38+PMH!BA38+ÖNKORMÁNYZAT!BA38</f>
        <v>0</v>
      </c>
      <c r="BB38" s="501">
        <f>BÖLCSŐDE!BB38+FALUHÁZ!BB38+ÓVODA!BB38+PMH!BB38+ÖNKORMÁNYZAT!BB38</f>
        <v>0</v>
      </c>
      <c r="BC38" s="501">
        <f>BÖLCSŐDE!BC38+FALUHÁZ!BC38+ÓVODA!BC38+PMH!BC38+ÖNKORMÁNYZAT!BC38</f>
        <v>0</v>
      </c>
      <c r="BD38" s="501">
        <f>BÖLCSŐDE!BD38+FALUHÁZ!BD38+ÓVODA!BD38+PMH!BD38+ÖNKORMÁNYZAT!BD38</f>
        <v>0</v>
      </c>
      <c r="BE38" s="501">
        <f>BÖLCSŐDE!BE38+FALUHÁZ!BE38+ÓVODA!BE38+PMH!BE38+ÖNKORMÁNYZAT!BE38</f>
        <v>0</v>
      </c>
      <c r="BF38" s="501">
        <f>BÖLCSŐDE!BF38+FALUHÁZ!BF38+ÓVODA!BF38+PMH!BF38+ÖNKORMÁNYZAT!BF38</f>
        <v>0</v>
      </c>
      <c r="BG38" s="383">
        <f>BÖLCSŐDE!BG38+FALUHÁZ!BG38+ÓVODA!BG38+PMH!BG38+ÖNKORMÁNYZAT!BG38</f>
        <v>0</v>
      </c>
      <c r="BH38" s="65">
        <f>BÖLCSŐDE!BH38+FALUHÁZ!BH38+ÓVODA!BH38+PMH!BH38+ÖNKORMÁNYZAT!BH38</f>
        <v>0</v>
      </c>
      <c r="BI38" s="65">
        <f>BÖLCSŐDE!BI38+FALUHÁZ!BI38+ÓVODA!BI38+PMH!BI38+ÖNKORMÁNYZAT!BI38</f>
        <v>0</v>
      </c>
      <c r="BJ38" s="65">
        <f>BÖLCSŐDE!BJ38+FALUHÁZ!BJ38+ÓVODA!BJ38+PMH!BJ38+ÖNKORMÁNYZAT!BJ38</f>
        <v>0</v>
      </c>
      <c r="BK38" s="65">
        <f>BÖLCSŐDE!BK38+FALUHÁZ!BK38+ÓVODA!BK38+PMH!BK38+ÖNKORMÁNYZAT!BK38</f>
        <v>0</v>
      </c>
      <c r="BL38" s="65">
        <f>BÖLCSŐDE!BL38+FALUHÁZ!BL38+ÓVODA!BL38+PMH!BL38+ÖNKORMÁNYZAT!BL38</f>
        <v>0</v>
      </c>
      <c r="BM38" s="65">
        <f>BÖLCSŐDE!BM38+FALUHÁZ!BM38+ÓVODA!BM38+PMH!BM38+ÖNKORMÁNYZAT!BM38</f>
        <v>0</v>
      </c>
      <c r="BN38" s="65">
        <f>BÖLCSŐDE!BN38+FALUHÁZ!BN38+ÓVODA!BN38+PMH!BN38+ÖNKORMÁNYZAT!BN38</f>
        <v>0</v>
      </c>
      <c r="BO38" s="65">
        <f>BÖLCSŐDE!BO38+FALUHÁZ!BO38+ÓVODA!BO38+PMH!BO38+ÖNKORMÁNYZAT!BO38</f>
        <v>0</v>
      </c>
      <c r="BP38" s="65">
        <f>BÖLCSŐDE!BP38+FALUHÁZ!BP38+ÓVODA!BP38+PMH!BP38+ÖNKORMÁNYZAT!BP38</f>
        <v>0</v>
      </c>
      <c r="BQ38" s="65">
        <f>BÖLCSŐDE!BQ38+FALUHÁZ!BQ38+ÓVODA!BQ38+PMH!BQ38+ÖNKORMÁNYZAT!BQ38</f>
        <v>0</v>
      </c>
      <c r="BR38" s="65">
        <f>BÖLCSŐDE!BR38+FALUHÁZ!BR38+ÓVODA!BR38+PMH!BR38+ÖNKORMÁNYZAT!BR38</f>
        <v>0</v>
      </c>
      <c r="BS38" s="65">
        <f>BÖLCSŐDE!BS38+FALUHÁZ!BS38+ÓVODA!BS38+PMH!BS38+ÖNKORMÁNYZAT!BS38</f>
        <v>0</v>
      </c>
      <c r="BT38" s="65">
        <f>BÖLCSŐDE!BT38+FALUHÁZ!BT38+ÓVODA!BT38+PMH!BT38+ÖNKORMÁNYZAT!BT38</f>
        <v>0</v>
      </c>
      <c r="BU38" s="65">
        <f>BÖLCSŐDE!BU38+FALUHÁZ!BU38+ÓVODA!BU38+PMH!BU38+ÖNKORMÁNYZAT!BU38</f>
        <v>0</v>
      </c>
      <c r="BV38" s="65">
        <f>BÖLCSŐDE!BV38+FALUHÁZ!BV38+ÓVODA!BV38+PMH!BV38+ÖNKORMÁNYZAT!BV38</f>
        <v>0</v>
      </c>
    </row>
    <row r="39" spans="1:92" s="39" customFormat="1" x14ac:dyDescent="0.25">
      <c r="A39" s="54" t="s">
        <v>30</v>
      </c>
      <c r="B39" s="60" t="s">
        <v>140</v>
      </c>
      <c r="C39" s="60">
        <f>BÖLCSŐDE!C39+FALUHÁZ!C39+ÓVODA!C39+PMH!C39+ÖNKORMÁNYZAT!C39</f>
        <v>168996681</v>
      </c>
      <c r="D39" s="60">
        <f>BÖLCSŐDE!D39+FALUHÁZ!D39+ÓVODA!D39+PMH!D39+ÖNKORMÁNYZAT!D39</f>
        <v>147304836</v>
      </c>
      <c r="E39" s="60">
        <f>BÖLCSŐDE!E39+FALUHÁZ!E39+ÓVODA!E39+PMH!E39+ÖNKORMÁNYZAT!E39</f>
        <v>182968877</v>
      </c>
      <c r="F39" s="60">
        <f>BÖLCSŐDE!F39+FALUHÁZ!F39+ÓVODA!F39+PMH!F39+ÖNKORMÁNYZAT!F39</f>
        <v>151525372</v>
      </c>
      <c r="G39" s="60">
        <f>BÖLCSŐDE!G39+FALUHÁZ!G39+ÓVODA!G39+PMH!G39+ÖNKORMÁNYZAT!G39</f>
        <v>171535732</v>
      </c>
      <c r="H39" s="60">
        <f>BÖLCSŐDE!H39+FALUHÁZ!H39+ÓVODA!H39+PMH!H39+ÖNKORMÁNYZAT!H39</f>
        <v>157048940</v>
      </c>
      <c r="I39" s="60">
        <f t="shared" si="0"/>
        <v>171326116.36363637</v>
      </c>
      <c r="J39" s="60">
        <v>203202193</v>
      </c>
      <c r="K39" s="60">
        <v>185154676</v>
      </c>
      <c r="L39" s="60" t="e">
        <f>BÖLCSŐDE!L39+FALUHÁZ!L39+ÓVODA!L39+PMH!L39+ÖNKORMÁNYZAT!L39</f>
        <v>#REF!</v>
      </c>
      <c r="M39" s="38" t="e">
        <f t="shared" si="1"/>
        <v>#REF!</v>
      </c>
      <c r="O39" s="60">
        <f>BÖLCSŐDE!O39+FALUHÁZ!N39+ÓVODA!O39+PMH!O39+ÖNKORMÁNYZAT!O39</f>
        <v>179342877</v>
      </c>
      <c r="P39" s="60">
        <f>BÖLCSŐDE!P39+FALUHÁZ!O39+ÓVODA!P39+PMH!P39+ÖNKORMÁNYZAT!P39</f>
        <v>134071368</v>
      </c>
      <c r="Q39" s="60">
        <f>BÖLCSŐDE!Q39+FALUHÁZ!P39+ÓVODA!Q39+PMH!Q39+ÖNKORMÁNYZAT!Q39</f>
        <v>148850221</v>
      </c>
      <c r="R39" s="60">
        <f>BÖLCSŐDE!R39+FALUHÁZ!Q39+ÓVODA!R39+PMH!R39+ÖNKORMÁNYZAT!R39</f>
        <v>197562170.97999999</v>
      </c>
      <c r="S39" s="60">
        <f>BÖLCSŐDE!S39+FALUHÁZ!R39+ÓVODA!S39+PMH!S39+ÖNKORMÁNYZAT!S39</f>
        <v>178853883</v>
      </c>
      <c r="T39" s="60">
        <f>BÖLCSŐDE!T39+FALUHÁZ!S39+ÓVODA!T39+PMH!T39+ÖNKORMÁNYZAT!T39</f>
        <v>177834085</v>
      </c>
      <c r="U39" s="60">
        <f>BÖLCSŐDE!U39+FALUHÁZ!T39+ÓVODA!U39+PMH!U39+ÖNKORMÁNYZAT!U39</f>
        <v>206545762</v>
      </c>
      <c r="V39" s="60">
        <f>BÖLCSŐDE!V39+FALUHÁZ!U39+ÓVODA!V39+PMH!V39+ÖNKORMÁNYZAT!V39</f>
        <v>206545762</v>
      </c>
      <c r="W39" s="60">
        <f>BÖLCSŐDE!W39+FALUHÁZ!V39+ÓVODA!W39+PMH!W39+ÖNKORMÁNYZAT!W39</f>
        <v>206545762</v>
      </c>
      <c r="X39" s="123">
        <f t="shared" si="2"/>
        <v>86.099120736256012</v>
      </c>
      <c r="AA39" s="60">
        <f>BÖLCSŐDE!AA39+FALUHÁZ!Z39+ÓVODA!AA39+PMH!AA39+ÖNKORMÁNYZAT!AA39</f>
        <v>208450712</v>
      </c>
      <c r="AB39" s="60">
        <f>BÖLCSŐDE!AB39+FALUHÁZ!AA39+ÓVODA!AB39+PMH!AB39+ÖNKORMÁNYZAT!AB39</f>
        <v>94704468</v>
      </c>
      <c r="AC39" s="60">
        <f>BÖLCSŐDE!AB39+FALUHÁZ!AA39+ÓVODA!AB39+PMH!AB39+ÖNKORMÁNYZAT!AB39</f>
        <v>94704468</v>
      </c>
      <c r="AD39" s="60">
        <f>BÖLCSŐDE!AC39+FALUHÁZ!AB39+ÓVODA!AC39+PMH!AC39+ÖNKORMÁNYZAT!AC39</f>
        <v>128268173</v>
      </c>
      <c r="AE39" s="217">
        <f>BÖLCSŐDE!AE39+FALUHÁZ!AD39+ÓVODA!AE39+PMH!AE39+ÖNKORMÁNYZAT!AD39</f>
        <v>23993332.804982271</v>
      </c>
      <c r="AF39" s="123">
        <f t="shared" si="3"/>
        <v>61.534053671162326</v>
      </c>
      <c r="AG39" s="60">
        <f>BÖLCSŐDE!AG39+FALUHÁZ!AG39+ÓVODA!AG39+PMH!AG39+ÖNKORMÁNYZAT!AG39</f>
        <v>162885721</v>
      </c>
      <c r="AH39" s="55"/>
      <c r="AI39" s="60">
        <f>BÖLCSŐDE!AI39+FALUHÁZ!AJ39+ÓVODA!AI39+PMH!AI39+ÖNKORMÁNYZAT!AI39</f>
        <v>202777355.78240001</v>
      </c>
      <c r="AJ39" s="60"/>
      <c r="AK39" s="60">
        <f>BÖLCSŐDE!AL39+FALUHÁZ!AK39+ÓVODA!AK39+PMH!AK39+ÖNKORMÁNYZAT!AK39</f>
        <v>242579981.27040002</v>
      </c>
      <c r="AL39"/>
      <c r="AM39" s="60">
        <f>BÖLCSŐDE!AM39+FALUHÁZ!AM39+ÓVODA!AM39+PMH!AM39+ÖNKORMÁNYZAT!AM39</f>
        <v>197793947</v>
      </c>
      <c r="AN39" s="55">
        <f>BÖLCSŐDE!AN39+FALUHÁZ!AN39+ÓVODA!AP39+PMH!AN39+ÖNKORMÁNYZAT!AP39</f>
        <v>234252981</v>
      </c>
      <c r="AO39" s="55">
        <f>BÖLCSŐDE!AO39+FALUHÁZ!AO39+ÓVODA!AQ39+PMH!AO39+ÖNKORMÁNYZAT!AQ39</f>
        <v>148144959</v>
      </c>
      <c r="AP39" s="55">
        <f>BÖLCSŐDE!AP39+FALUHÁZ!AP39+ÓVODA!AP39+PMH!AP39+ÖNKORMÁNYZAT!AP39</f>
        <v>233852981</v>
      </c>
      <c r="AQ39" s="55">
        <f>BÖLCSŐDE!AQ39+FALUHÁZ!AQ39+ÓVODA!AQ39+PMH!AQ39+ÖNKORMÁNYZAT!AQ39</f>
        <v>173231177</v>
      </c>
      <c r="AR39" s="55">
        <f t="shared" si="4"/>
        <v>60621804</v>
      </c>
      <c r="AS39" s="54">
        <f t="shared" si="5"/>
        <v>74.076959061727763</v>
      </c>
      <c r="AT39" s="60">
        <f>BÖLCSŐDE!AT39+FALUHÁZ!AT39+ÓVODA!AT39+PMH!AT39+ÖNKORMÁNYZAT!AT39</f>
        <v>193275583</v>
      </c>
      <c r="AU39" s="60">
        <f t="shared" si="6"/>
        <v>40577398</v>
      </c>
      <c r="AV39" s="59">
        <f t="shared" si="7"/>
        <v>17.351670193162942</v>
      </c>
      <c r="AW39" s="60">
        <f>BÖLCSŐDE!AW39+FALUHÁZ!AW39+ÓVODA!AW39+PMH!AW39+ÖNKORMÁNYZAT!AW39</f>
        <v>242579981</v>
      </c>
      <c r="AX39" s="60">
        <f>BÖLCSŐDE!AX39+FALUHÁZ!AX39+ÓVODA!AX39+PMH!AX39+ÖNKORMÁNYZAT!AX39</f>
        <v>265771987.48000002</v>
      </c>
      <c r="AY39" s="60">
        <f>BÖLCSŐDE!AY39+FALUHÁZ!AY39+ÓVODA!AY39+PMH!AY39+ÖNKORMÁNYZAT!AY39</f>
        <v>262571987.48000002</v>
      </c>
      <c r="AZ39" s="60">
        <f>BÖLCSŐDE!AZ39+FALUHÁZ!AZ39+ÓVODA!AZ39+PMH!AZ39+ÖNKORMÁNYZAT!AZ39</f>
        <v>267966059</v>
      </c>
      <c r="BA39" s="60">
        <f>BÖLCSŐDE!BA39+FALUHÁZ!BA39+ÓVODA!BA39+PMH!BA39+ÖNKORMÁNYZAT!BA39</f>
        <v>272171427.68000001</v>
      </c>
      <c r="BB39" s="60">
        <f>BÖLCSŐDE!BB39+FALUHÁZ!BB39+ÓVODA!BB39+PMH!BB39+ÖNKORMÁNYZAT!BB39</f>
        <v>267966059</v>
      </c>
      <c r="BC39" s="60">
        <f>BÖLCSŐDE!BC39+FALUHÁZ!BC39+ÓVODA!BC39+PMH!BC39+ÖNKORMÁNYZAT!BC39</f>
        <v>255948808</v>
      </c>
      <c r="BD39" s="60">
        <f>BÖLCSŐDE!BD39+FALUHÁZ!BD39+ÓVODA!BD39+PMH!BD39+ÖNKORMÁNYZAT!BD39</f>
        <v>145482944</v>
      </c>
      <c r="BE39" s="60">
        <f>BÖLCSŐDE!BE39+FALUHÁZ!BE39+ÓVODA!BE39+PMH!BE39+ÖNKORMÁNYZAT!BE39</f>
        <v>187606901</v>
      </c>
      <c r="BF39" s="60">
        <f>BÖLCSŐDE!BF39+FALUHÁZ!BF39+ÓVODA!BF39+PMH!BF39+ÖNKORMÁNYZAT!BF39</f>
        <v>208776229</v>
      </c>
      <c r="BG39" s="60">
        <f>BÖLCSŐDE!BG39+FALUHÁZ!BG39+ÓVODA!BG39+PMH!BG39+ÖNKORMÁNYZAT!BG39</f>
        <v>227755886.18181819</v>
      </c>
      <c r="BH39" s="60">
        <f>BÖLCSŐDE!BH39+FALUHÁZ!BH39+ÓVODA!BH39+PMH!BH39+ÖNKORMÁNYZAT!BH39</f>
        <v>307350320</v>
      </c>
      <c r="BI39" s="60">
        <f>BÖLCSŐDE!BI39+FALUHÁZ!BI39+ÓVODA!BI39+PMH!BI39+ÖNKORMÁNYZAT!BI39</f>
        <v>306340288</v>
      </c>
      <c r="BJ39" s="60">
        <f>BÖLCSŐDE!BJ39+FALUHÁZ!BJ39+ÓVODA!BJ39+PMH!BJ39+ÖNKORMÁNYZAT!BJ39</f>
        <v>142028504</v>
      </c>
      <c r="BK39" s="60">
        <f>BÖLCSŐDE!BK39+FALUHÁZ!BK39+ÓVODA!BK39+PMH!BK39+ÖNKORMÁNYZAT!BK39</f>
        <v>242667770</v>
      </c>
      <c r="BL39" s="60">
        <f>BÖLCSŐDE!BL39+FALUHÁZ!BL39+ÓVODA!BL39+PMH!BL39+ÖNKORMÁNYZAT!BL39</f>
        <v>307167282</v>
      </c>
      <c r="BM39" s="60">
        <f>BÖLCSŐDE!BM39+FALUHÁZ!BM39+ÓVODA!BM39+PMH!BM39+ÖNKORMÁNYZAT!BM39</f>
        <v>363594255.48000002</v>
      </c>
      <c r="BN39" s="60">
        <f>BÖLCSŐDE!BN39+FALUHÁZ!BN39+ÓVODA!BN39+PMH!BN39+ÖNKORMÁNYZAT!BN39</f>
        <v>366094255</v>
      </c>
      <c r="BO39" s="60">
        <f>BÖLCSŐDE!BO39+FALUHÁZ!BO39+ÓVODA!BO39+PMH!BO39+ÖNKORMÁNYZAT!BO39</f>
        <v>280356382</v>
      </c>
      <c r="BP39" s="60">
        <f>BÖLCSŐDE!BP39+FALUHÁZ!BP39+ÓVODA!BP39+PMH!BP39+ÖNKORMÁNYZAT!BP39</f>
        <v>354292313.39999998</v>
      </c>
      <c r="BQ39" s="60">
        <f>BÖLCSŐDE!BQ39+FALUHÁZ!BQ39+ÓVODA!BQ39+PMH!BQ39+ÖNKORMÁNYZAT!BQ39</f>
        <v>389721544.74000007</v>
      </c>
      <c r="BR39" s="60">
        <f>BÖLCSŐDE!BR39+FALUHÁZ!BR39+ÓVODA!BR39+PMH!BR39+ÖNKORMÁNYZAT!BR39</f>
        <v>383953731</v>
      </c>
      <c r="BS39" s="60">
        <f>BÖLCSŐDE!BS39+FALUHÁZ!BS39+ÓVODA!BS39+PMH!BS39+ÖNKORMÁNYZAT!BS39</f>
        <v>423883639</v>
      </c>
      <c r="BT39" s="60">
        <f>BÖLCSŐDE!BT39+FALUHÁZ!BT39+ÓVODA!BT39+PMH!BT39+ÖNKORMÁNYZAT!BT39</f>
        <v>423883639</v>
      </c>
      <c r="BU39" s="60">
        <f>BÖLCSŐDE!BU39+FALUHÁZ!BU39+ÓVODA!BU39+PMH!BU39+ÖNKORMÁNYZAT!BU39</f>
        <v>492769637</v>
      </c>
      <c r="BV39" s="60">
        <f>BÖLCSŐDE!BV39+FALUHÁZ!BV39+ÓVODA!BV39+PMH!BV39+ÖNKORMÁNYZAT!BV39</f>
        <v>521982012</v>
      </c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</row>
    <row r="40" spans="1:92" s="39" customFormat="1" x14ac:dyDescent="0.25">
      <c r="A40" s="54" t="s">
        <v>226</v>
      </c>
      <c r="B40" s="60" t="s">
        <v>227</v>
      </c>
      <c r="C40" s="60"/>
      <c r="D40" s="60"/>
      <c r="E40" s="60"/>
      <c r="F40" s="60"/>
      <c r="G40" s="60">
        <f>BÖLCSŐDE!G40+FALUHÁZ!G40+ÓVODA!G40+PMH!G40+ÖNKORMÁNYZAT!G40</f>
        <v>6984552</v>
      </c>
      <c r="H40" s="60">
        <f>BÖLCSŐDE!H40+FALUHÁZ!H40+ÓVODA!H40+PMH!H40+ÖNKORMÁNYZAT!H40</f>
        <v>6954636</v>
      </c>
      <c r="I40" s="60">
        <f t="shared" si="0"/>
        <v>7586875.6363636367</v>
      </c>
      <c r="J40" s="60">
        <v>0</v>
      </c>
      <c r="K40" s="60">
        <v>2000000</v>
      </c>
      <c r="L40" s="60">
        <f>BÖLCSŐDE!L40+FALUHÁZ!L40+ÓVODA!L40+PMH!L40+ÖNKORMÁNYZAT!L40</f>
        <v>2000000</v>
      </c>
      <c r="M40" s="38">
        <f t="shared" si="1"/>
        <v>26.361312559468725</v>
      </c>
      <c r="O40" s="60">
        <f>BÖLCSŐDE!O40+FALUHÁZ!N40+ÓVODA!O40+PMH!O40+ÖNKORMÁNYZAT!O40</f>
        <v>2451800</v>
      </c>
      <c r="P40" s="60">
        <f>BÖLCSŐDE!P40+FALUHÁZ!O40+ÓVODA!P40+PMH!P40+ÖNKORMÁNYZAT!P40</f>
        <v>1000617</v>
      </c>
      <c r="Q40" s="60">
        <f>BÖLCSŐDE!Q40+FALUHÁZ!P40+ÓVODA!Q40+PMH!Q40+ÖNKORMÁNYZAT!Q40</f>
        <v>1000617</v>
      </c>
      <c r="R40" s="60">
        <f>BÖLCSŐDE!R40+FALUHÁZ!Q40+ÓVODA!R40+PMH!R40+ÖNKORMÁNYZAT!R40</f>
        <v>2000000</v>
      </c>
      <c r="S40" s="60">
        <f>BÖLCSŐDE!S40+FALUHÁZ!R40+ÓVODA!S40+PMH!S40+ÖNKORMÁNYZAT!S40</f>
        <v>7871156</v>
      </c>
      <c r="T40" s="60">
        <f>BÖLCSŐDE!T40+FALUHÁZ!S40+ÓVODA!T40+PMH!T40+ÖNKORMÁNYZAT!T40</f>
        <v>7871156</v>
      </c>
      <c r="U40" s="60">
        <f>BÖLCSŐDE!U40+FALUHÁZ!T40+ÓVODA!U40+PMH!U40+ÖNKORMÁNYZAT!U40</f>
        <v>2955000</v>
      </c>
      <c r="V40" s="60">
        <f>BÖLCSŐDE!V40+FALUHÁZ!U40+ÓVODA!V40+PMH!V40+ÖNKORMÁNYZAT!V40</f>
        <v>2955000</v>
      </c>
      <c r="W40" s="60">
        <f>BÖLCSŐDE!W40+FALUHÁZ!V40+ÓVODA!W40+PMH!W40+ÖNKORMÁNYZAT!W40</f>
        <v>2955000</v>
      </c>
      <c r="X40" s="123">
        <f t="shared" si="2"/>
        <v>266.36737732656513</v>
      </c>
      <c r="AA40" s="60">
        <f>BÖLCSŐDE!AA40+FALUHÁZ!Z40+ÓVODA!AA40+PMH!AA40+ÖNKORMÁNYZAT!AA40</f>
        <v>2955000</v>
      </c>
      <c r="AB40" s="60">
        <f>BÖLCSŐDE!AB40+FALUHÁZ!AA40+ÓVODA!AB40+PMH!AB40+ÖNKORMÁNYZAT!AB40</f>
        <v>94739</v>
      </c>
      <c r="AC40" s="60">
        <f>BÖLCSŐDE!AB40+FALUHÁZ!AA40+ÓVODA!AB40+PMH!AB40+ÖNKORMÁNYZAT!AB40</f>
        <v>94739</v>
      </c>
      <c r="AD40" s="60">
        <f>BÖLCSŐDE!AC40+FALUHÁZ!AB40+ÓVODA!AC40+PMH!AC40+ÖNKORMÁNYZAT!AC40</f>
        <v>558688</v>
      </c>
      <c r="AE40" s="217">
        <f>BÖLCSŐDE!AE40+FALUHÁZ!AD40+ÓVODA!AE40+PMH!AE40+ÖNKORMÁNYZAT!AD40</f>
        <v>24.830577777777776</v>
      </c>
      <c r="AF40" s="123">
        <f t="shared" si="3"/>
        <v>18.906531302876481</v>
      </c>
      <c r="AG40" s="60" t="e">
        <f>BÖLCSŐDE!AG40+FALUHÁZ!AG40+ÓVODA!#REF!+PMH!AG40+ÖNKORMÁNYZAT!AG40</f>
        <v>#REF!</v>
      </c>
      <c r="AH40" s="55"/>
      <c r="AI40" s="60" t="e">
        <f>BÖLCSŐDE!AI40+FALUHÁZ!AJ40+ÓVODA!#REF!+PMH!AI40+ÖNKORMÁNYZAT!AI40</f>
        <v>#REF!</v>
      </c>
      <c r="AJ40" s="60"/>
      <c r="AK40" s="60" t="e">
        <f>BÖLCSŐDE!AL40+FALUHÁZ!AK40+ÓVODA!#REF!+PMH!AK40+ÖNKORMÁNYZAT!AK40</f>
        <v>#REF!</v>
      </c>
      <c r="AL40"/>
      <c r="AM40" s="60" t="e">
        <f>BÖLCSŐDE!AM40+FALUHÁZ!AM40+ÓVODA!#REF!+PMH!AM40+ÖNKORMÁNYZAT!AM40</f>
        <v>#REF!</v>
      </c>
      <c r="AN40" s="55" t="e">
        <f>BÖLCSŐDE!AN40+FALUHÁZ!AN40+ÓVODA!#REF!+PMH!AN40+ÖNKORMÁNYZAT!AP40</f>
        <v>#REF!</v>
      </c>
      <c r="AO40" s="55" t="e">
        <f>BÖLCSŐDE!AO40+FALUHÁZ!AO40+ÓVODA!#REF!+PMH!AO40+ÖNKORMÁNYZAT!AQ40</f>
        <v>#REF!</v>
      </c>
      <c r="AP40" s="55" t="e">
        <f>BÖLCSŐDE!AP40+FALUHÁZ!AP40+ÓVODA!#REF!+PMH!AP40+ÖNKORMÁNYZAT!AP40</f>
        <v>#REF!</v>
      </c>
      <c r="AQ40" s="55" t="e">
        <f>BÖLCSŐDE!AQ40+FALUHÁZ!AQ40+ÓVODA!#REF!+PMH!AQ40+ÖNKORMÁNYZAT!AQ40</f>
        <v>#REF!</v>
      </c>
      <c r="AR40" s="55" t="e">
        <f t="shared" si="4"/>
        <v>#REF!</v>
      </c>
      <c r="AS40" s="54" t="e">
        <f t="shared" si="5"/>
        <v>#REF!</v>
      </c>
      <c r="AT40" s="60" t="e">
        <f>BÖLCSŐDE!AT40+FALUHÁZ!AT40+ÓVODA!#REF!+PMH!AT40+ÖNKORMÁNYZAT!AT40</f>
        <v>#REF!</v>
      </c>
      <c r="AU40" s="60" t="e">
        <f t="shared" si="6"/>
        <v>#REF!</v>
      </c>
      <c r="AV40" s="59" t="e">
        <f t="shared" si="7"/>
        <v>#REF!</v>
      </c>
      <c r="AW40" s="60" t="e">
        <f>BÖLCSŐDE!AW40+FALUHÁZ!AW40+ÓVODA!#REF!+PMH!AW40+ÖNKORMÁNYZAT!AW40</f>
        <v>#REF!</v>
      </c>
      <c r="AX40" s="60" t="e">
        <f>BÖLCSŐDE!AX40+FALUHÁZ!AX40+ÓVODA!#REF!+PMH!AX40+ÖNKORMÁNYZAT!AX40</f>
        <v>#REF!</v>
      </c>
      <c r="AY40" s="60" t="e">
        <f>BÖLCSŐDE!AY40+FALUHÁZ!AY40+ÓVODA!#REF!+PMH!AY40+ÖNKORMÁNYZAT!AY40</f>
        <v>#REF!</v>
      </c>
      <c r="AZ40" s="60" t="e">
        <f>BÖLCSŐDE!AZ40+FALUHÁZ!AZ40+ÓVODA!#REF!+PMH!AZ40+ÖNKORMÁNYZAT!AZ40</f>
        <v>#REF!</v>
      </c>
      <c r="BA40" s="60" t="e">
        <f>BÖLCSŐDE!BA40+FALUHÁZ!BA40+ÓVODA!#REF!+PMH!BA40+ÖNKORMÁNYZAT!BA40</f>
        <v>#REF!</v>
      </c>
      <c r="BB40" s="60">
        <f>BÖLCSŐDE!BB40+FALUHÁZ!BB40+ÓVODA!BB40+PMH!BB40+ÖNKORMÁNYZAT!BB40</f>
        <v>1500000</v>
      </c>
      <c r="BC40" s="60">
        <f>BÖLCSŐDE!BC40+FALUHÁZ!BC40+ÓVODA!BC40+PMH!BC40+ÖNKORMÁNYZAT!BC40</f>
        <v>4571318</v>
      </c>
      <c r="BD40" s="60">
        <f>BÖLCSŐDE!BD40+FALUHÁZ!BD40+ÓVODA!BD40+PMH!BD40+ÖNKORMÁNYZAT!BD40</f>
        <v>4571318</v>
      </c>
      <c r="BE40" s="60">
        <f>BÖLCSŐDE!BE40+FALUHÁZ!BE40+ÓVODA!BE40+PMH!BE40+ÖNKORMÁNYZAT!BE40</f>
        <v>4697633</v>
      </c>
      <c r="BF40" s="60">
        <f>BÖLCSŐDE!BF40+FALUHÁZ!BF40+ÓVODA!BF40+PMH!BF40+ÖNKORMÁNYZAT!BF40</f>
        <v>5303165</v>
      </c>
      <c r="BG40" s="60">
        <f>BÖLCSŐDE!BG40+FALUHÁZ!BG40+ÓVODA!BG40+PMH!BG40+ÖNKORMÁNYZAT!BG40</f>
        <v>5785270.9090909092</v>
      </c>
      <c r="BH40" s="60">
        <f>BÖLCSŐDE!BH40+FALUHÁZ!BH40+ÓVODA!BH40+PMH!BH40+ÖNKORMÁNYZAT!BH40</f>
        <v>1000000</v>
      </c>
      <c r="BI40" s="60">
        <f>BÖLCSŐDE!BI40+FALUHÁZ!BI40+ÓVODA!BI40+PMH!BI40+ÖNKORMÁNYZAT!BI40</f>
        <v>1546320</v>
      </c>
      <c r="BJ40" s="60">
        <f>BÖLCSŐDE!BJ40+FALUHÁZ!BJ40+ÓVODA!BJ40+PMH!BJ40+ÖNKORMÁNYZAT!BJ40</f>
        <v>430152</v>
      </c>
      <c r="BK40" s="60">
        <f>BÖLCSŐDE!BK40+FALUHÁZ!BK40+ÓVODA!BK40+PMH!BK40+ÖNKORMÁNYZAT!BK40</f>
        <v>820886</v>
      </c>
      <c r="BL40" s="60">
        <f>BÖLCSŐDE!BL40+FALUHÁZ!BL40+ÓVODA!BL40+PMH!BL40+ÖNKORMÁNYZAT!BL40</f>
        <v>1546320</v>
      </c>
      <c r="BM40" s="60">
        <f>BÖLCSŐDE!BM40+FALUHÁZ!BM40+ÓVODA!BM40+PMH!BM40+ÖNKORMÁNYZAT!BM40</f>
        <v>1133731.2</v>
      </c>
      <c r="BN40" s="60">
        <f>BÖLCSŐDE!BN40+FALUHÁZ!BN40+ÓVODA!BN40+PMH!BN40+ÖNKORMÁNYZAT!BN40</f>
        <v>1133731</v>
      </c>
      <c r="BO40" s="60">
        <f>BÖLCSŐDE!BO40+FALUHÁZ!BO40+ÓVODA!BO40+PMH!BO40+ÖNKORMÁNYZAT!BO40</f>
        <v>1123347</v>
      </c>
      <c r="BP40" s="60">
        <f>BÖLCSŐDE!BP40+FALUHÁZ!BP40+ÓVODA!BP40+PMH!BP40+ÖNKORMÁNYZAT!BP40</f>
        <v>1348016.4</v>
      </c>
      <c r="BQ40" s="60">
        <f>BÖLCSŐDE!BQ40+FALUHÁZ!BQ40+ÓVODA!BQ40+PMH!BQ40+ÖNKORMÁNYZAT!BQ40</f>
        <v>1482818.04</v>
      </c>
      <c r="BR40" s="60">
        <f>BÖLCSŐDE!BR40+FALUHÁZ!BR40+ÓVODA!BR40+PMH!BR40+ÖNKORMÁNYZAT!BR40</f>
        <v>1623326</v>
      </c>
      <c r="BS40" s="60">
        <f>BÖLCSŐDE!BS40+FALUHÁZ!BS40+ÓVODA!BS40+PMH!BS40+ÖNKORMÁNYZAT!BS40</f>
        <v>1623326</v>
      </c>
      <c r="BT40" s="60">
        <f>BÖLCSŐDE!BT40+FALUHÁZ!BT40+ÓVODA!BT40+PMH!BT40+ÖNKORMÁNYZAT!BT40</f>
        <v>1623326</v>
      </c>
      <c r="BU40" s="60">
        <f>BÖLCSŐDE!BU40+FALUHÁZ!BU40+ÓVODA!BU40+PMH!BU40+ÖNKORMÁNYZAT!BU40</f>
        <v>0</v>
      </c>
      <c r="BV40" s="60">
        <f>BÖLCSŐDE!BV40+FALUHÁZ!BV40+ÓVODA!BV40+PMH!BV40+ÖNKORMÁNYZAT!BV40</f>
        <v>0</v>
      </c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</row>
    <row r="41" spans="1:92" s="39" customFormat="1" x14ac:dyDescent="0.25">
      <c r="A41" s="54" t="s">
        <v>31</v>
      </c>
      <c r="B41" s="60" t="s">
        <v>141</v>
      </c>
      <c r="C41" s="60">
        <f>BÖLCSŐDE!C41+FALUHÁZ!C41+ÓVODA!C41+PMH!C41+ÖNKORMÁNYZAT!C41</f>
        <v>1743000</v>
      </c>
      <c r="D41" s="60">
        <f>BÖLCSŐDE!D41+FALUHÁZ!D41+ÓVODA!D41+PMH!D41+ÖNKORMÁNYZAT!D41</f>
        <v>1787079</v>
      </c>
      <c r="E41" s="60">
        <f>BÖLCSŐDE!E41+FALUHÁZ!E41+ÓVODA!E41+PMH!E41+ÖNKORMÁNYZAT!E41</f>
        <v>2700000</v>
      </c>
      <c r="F41" s="60">
        <f>BÖLCSŐDE!F41+FALUHÁZ!F41+ÓVODA!F41+PMH!F41+ÖNKORMÁNYZAT!F41</f>
        <v>2315566</v>
      </c>
      <c r="G41" s="60">
        <f>BÖLCSŐDE!G41+FALUHÁZ!G41+ÓVODA!G41+PMH!G41+ÖNKORMÁNYZAT!G41</f>
        <v>2310000</v>
      </c>
      <c r="H41" s="60">
        <f>BÖLCSŐDE!H41+FALUHÁZ!H41+ÓVODA!H41+PMH!H41+ÖNKORMÁNYZAT!H41</f>
        <v>1466182</v>
      </c>
      <c r="I41" s="60">
        <f t="shared" si="0"/>
        <v>1599471.2727272727</v>
      </c>
      <c r="J41" s="60">
        <v>2800000</v>
      </c>
      <c r="K41" s="60">
        <v>2800000</v>
      </c>
      <c r="L41" s="60">
        <f>BÖLCSŐDE!L41+FALUHÁZ!L41+ÓVODA!L41+PMH!L41+ÖNKORMÁNYZAT!L41</f>
        <v>2800000</v>
      </c>
      <c r="M41" s="38">
        <f t="shared" si="1"/>
        <v>175.05784866180778</v>
      </c>
      <c r="O41" s="60">
        <f>BÖLCSŐDE!O41+FALUHÁZ!N41+ÓVODA!O41+PMH!O41+ÖNKORMÁNYZAT!O41</f>
        <v>2800000</v>
      </c>
      <c r="P41" s="60">
        <f>BÖLCSŐDE!P41+FALUHÁZ!O41+ÓVODA!P41+PMH!P41+ÖNKORMÁNYZAT!P41</f>
        <v>1481109</v>
      </c>
      <c r="Q41" s="60">
        <f>BÖLCSŐDE!Q41+FALUHÁZ!P41+ÓVODA!Q41+PMH!Q41+ÖNKORMÁNYZAT!Q41</f>
        <v>1888732</v>
      </c>
      <c r="R41" s="60">
        <f>BÖLCSŐDE!R41+FALUHÁZ!Q41+ÓVODA!R41+PMH!R41+ÖNKORMÁNYZAT!R41</f>
        <v>3000000</v>
      </c>
      <c r="S41" s="60">
        <f>BÖLCSŐDE!S41+FALUHÁZ!R41+ÓVODA!S41+PMH!S41+ÖNKORMÁNYZAT!S41</f>
        <v>2685124</v>
      </c>
      <c r="T41" s="60">
        <f>BÖLCSŐDE!T41+FALUHÁZ!S41+ÓVODA!T41+PMH!T41+ÖNKORMÁNYZAT!T41</f>
        <v>2685124</v>
      </c>
      <c r="U41" s="60">
        <f>BÖLCSŐDE!U41+FALUHÁZ!T41+ÓVODA!U41+PMH!U41+ÖNKORMÁNYZAT!U41</f>
        <v>3250000</v>
      </c>
      <c r="V41" s="60">
        <f>BÖLCSŐDE!V41+FALUHÁZ!U41+ÓVODA!V41+PMH!V41+ÖNKORMÁNYZAT!V41</f>
        <v>3250000</v>
      </c>
      <c r="W41" s="60">
        <f>BÖLCSŐDE!W41+FALUHÁZ!V41+ÓVODA!W41+PMH!W41+ÖNKORMÁNYZAT!W41</f>
        <v>3150000</v>
      </c>
      <c r="X41" s="123">
        <f t="shared" si="2"/>
        <v>82.619200000000006</v>
      </c>
      <c r="AA41" s="60">
        <f>BÖLCSŐDE!AA41+FALUHÁZ!Z41+ÓVODA!AA41+PMH!AA41+ÖNKORMÁNYZAT!AA41</f>
        <v>3150000</v>
      </c>
      <c r="AB41" s="60">
        <f>BÖLCSŐDE!AB41+FALUHÁZ!AA41+ÓVODA!AB41+PMH!AB41+ÖNKORMÁNYZAT!AB41</f>
        <v>2332992</v>
      </c>
      <c r="AC41" s="60">
        <f>BÖLCSŐDE!AB41+FALUHÁZ!AA41+ÓVODA!AB41+PMH!AB41+ÖNKORMÁNYZAT!AB41</f>
        <v>2332992</v>
      </c>
      <c r="AD41" s="60">
        <f>BÖLCSŐDE!AC41+FALUHÁZ!AB41+ÓVODA!AC41+PMH!AC41+ÖNKORMÁNYZAT!AC41</f>
        <v>2919906</v>
      </c>
      <c r="AE41" s="217">
        <f>BÖLCSŐDE!AE41+FALUHÁZ!AD41+ÓVODA!AE41+PMH!AE41+ÖNKORMÁNYZAT!AD41</f>
        <v>42964.686107142858</v>
      </c>
      <c r="AF41" s="123">
        <f t="shared" si="3"/>
        <v>92.695428571428579</v>
      </c>
      <c r="AG41" s="60">
        <f>BÖLCSŐDE!AG41+FALUHÁZ!AG41+ÓVODA!AG40+PMH!AG41+ÖNKORMÁNYZAT!AG41</f>
        <v>992894</v>
      </c>
      <c r="AH41" s="55"/>
      <c r="AI41" s="60">
        <f>BÖLCSŐDE!AI41+FALUHÁZ!AJ41+ÓVODA!AI40+PMH!AI41+ÖNKORMÁNYZAT!AI41</f>
        <v>1277808.456</v>
      </c>
      <c r="AJ41" s="60"/>
      <c r="AK41" s="60">
        <f>BÖLCSŐDE!AL41+FALUHÁZ!AK41+ÓVODA!AK40+PMH!AK41+ÖNKORMÁNYZAT!AK41</f>
        <v>1327808.456</v>
      </c>
      <c r="AL41"/>
      <c r="AM41" s="60">
        <f>BÖLCSŐDE!AM41+FALUHÁZ!AM41+ÓVODA!AM40+PMH!AM41+ÖNKORMÁNYZAT!AM41</f>
        <v>4495894</v>
      </c>
      <c r="AN41" s="55">
        <f>BÖLCSŐDE!AN41+FALUHÁZ!AN41+ÓVODA!AP40+PMH!AN41+ÖNKORMÁNYZAT!AP41</f>
        <v>1354808</v>
      </c>
      <c r="AO41" s="55">
        <f>BÖLCSŐDE!AO41+FALUHÁZ!AO41+ÓVODA!AQ40+PMH!AO41+ÖNKORMÁNYZAT!AQ41</f>
        <v>262026</v>
      </c>
      <c r="AP41" s="55">
        <f>BÖLCSŐDE!AP41+FALUHÁZ!AP41+ÓVODA!AP40+PMH!AP41+ÖNKORMÁNYZAT!AP41</f>
        <v>1354808</v>
      </c>
      <c r="AQ41" s="55">
        <f>BÖLCSŐDE!AQ41+FALUHÁZ!AQ41+ÓVODA!AQ40+PMH!AQ41+ÖNKORMÁNYZAT!AQ41</f>
        <v>262026</v>
      </c>
      <c r="AR41" s="55">
        <f t="shared" si="4"/>
        <v>1092782</v>
      </c>
      <c r="AS41" s="54">
        <f t="shared" si="5"/>
        <v>19.340452669308121</v>
      </c>
      <c r="AT41" s="60">
        <f>BÖLCSŐDE!AT41+FALUHÁZ!AT41+ÓVODA!AT40+PMH!AT41+ÖNKORMÁNYZAT!AT41</f>
        <v>346030</v>
      </c>
      <c r="AU41" s="60">
        <f t="shared" si="6"/>
        <v>1008778</v>
      </c>
      <c r="AV41" s="59">
        <f t="shared" si="7"/>
        <v>74.459111549385597</v>
      </c>
      <c r="AW41" s="60">
        <f>BÖLCSŐDE!AW41+FALUHÁZ!AW41+ÓVODA!AW40+PMH!AW41+ÖNKORMÁNYZAT!AW41</f>
        <v>1327808</v>
      </c>
      <c r="AX41" s="60">
        <f>BÖLCSŐDE!AX41+FALUHÁZ!AX41+ÓVODA!AX40+PMH!AX41+ÖNKORMÁNYZAT!AX41</f>
        <v>1434032.64</v>
      </c>
      <c r="AY41" s="60">
        <f>BÖLCSŐDE!AY41+FALUHÁZ!AY41+ÓVODA!AY40+PMH!AY41+ÖNKORMÁNYZAT!AY41</f>
        <v>1434032.64</v>
      </c>
      <c r="AZ41" s="60">
        <f>BÖLCSŐDE!AZ41+FALUHÁZ!AZ41+ÓVODA!AZ40+PMH!AZ41+ÖNKORMÁNYZAT!AZ41</f>
        <v>4513207</v>
      </c>
      <c r="BA41" s="60">
        <f>BÖLCSŐDE!BA41+FALUHÁZ!BA41+ÓVODA!BA40+PMH!BA41+ÖNKORMÁNYZAT!BA41</f>
        <v>1362032.6399999999</v>
      </c>
      <c r="BB41" s="60">
        <f>BÖLCSŐDE!BB41+FALUHÁZ!BB41+ÓVODA!BB40+PMH!BB41+ÖNKORMÁNYZAT!BB41</f>
        <v>5813207</v>
      </c>
      <c r="BC41" s="60">
        <f>BÖLCSŐDE!BC41+FALUHÁZ!BC41+ÓVODA!BC40+PMH!BC41+ÖNKORMÁNYZAT!BC41</f>
        <v>6513996</v>
      </c>
      <c r="BD41" s="60">
        <f>BÖLCSŐDE!BD41+FALUHÁZ!BD41+ÓVODA!BD40+PMH!BD41+ÖNKORMÁNYZAT!BD41</f>
        <v>3037701</v>
      </c>
      <c r="BE41" s="60">
        <f>BÖLCSŐDE!BE41+FALUHÁZ!BE41+ÓVODA!BE40+PMH!BE41+ÖNKORMÁNYZAT!BE41</f>
        <v>3586112</v>
      </c>
      <c r="BF41" s="60">
        <f>BÖLCSŐDE!BF41+FALUHÁZ!BF41+ÓVODA!BF41+PMH!BF41+ÖNKORMÁNYZAT!BF41</f>
        <v>3462991</v>
      </c>
      <c r="BG41" s="60">
        <f>BÖLCSŐDE!BG41+FALUHÁZ!BG41+ÓVODA!BG41+PMH!BG41+ÖNKORMÁNYZAT!BG41</f>
        <v>3777808.3636363638</v>
      </c>
      <c r="BH41" s="60">
        <f>BÖLCSŐDE!BH41+FALUHÁZ!BH41+ÓVODA!BH41+PMH!BH41+ÖNKORMÁNYZAT!BH41</f>
        <v>5600000</v>
      </c>
      <c r="BI41" s="60">
        <f>BÖLCSŐDE!BI41+FALUHÁZ!BI41+ÓVODA!BI41+PMH!BI41+ÖNKORMÁNYZAT!BI41</f>
        <v>6452861</v>
      </c>
      <c r="BJ41" s="60">
        <f>BÖLCSŐDE!BJ41+FALUHÁZ!BJ41+ÓVODA!BJ41+PMH!BJ41+ÖNKORMÁNYZAT!BJ41</f>
        <v>3253288</v>
      </c>
      <c r="BK41" s="60">
        <f>BÖLCSŐDE!BK41+FALUHÁZ!BK41+ÓVODA!BK41+PMH!BK41+ÖNKORMÁNYZAT!BK41</f>
        <v>3712232</v>
      </c>
      <c r="BL41" s="60">
        <f>BÖLCSŐDE!BL41+FALUHÁZ!BL41+ÓVODA!BL41+PMH!BL41+ÖNKORMÁNYZAT!BL41</f>
        <v>6452861</v>
      </c>
      <c r="BM41" s="60">
        <f>BÖLCSŐDE!BM41+FALUHÁZ!BM41+ÓVODA!BM41+PMH!BM41+ÖNKORMÁNYZAT!BM41</f>
        <v>4112400</v>
      </c>
      <c r="BN41" s="60">
        <f>BÖLCSŐDE!BN41+FALUHÁZ!BN41+ÓVODA!BN41+PMH!BN41+ÖNKORMÁNYZAT!BN41</f>
        <v>4112400</v>
      </c>
      <c r="BO41" s="60">
        <f>BÖLCSŐDE!BO41+FALUHÁZ!BO41+ÓVODA!BO41+PMH!BO41+ÖNKORMÁNYZAT!BO41</f>
        <v>3243557</v>
      </c>
      <c r="BP41" s="60">
        <f>BÖLCSŐDE!BP41+FALUHÁZ!BP41+ÓVODA!BP41+PMH!BP41+ÖNKORMÁNYZAT!BP41</f>
        <v>3892268.4000000004</v>
      </c>
      <c r="BQ41" s="60">
        <f>BÖLCSŐDE!BQ41+FALUHÁZ!BQ41+ÓVODA!BQ41+PMH!BQ41+ÖNKORMÁNYZAT!BQ41</f>
        <v>4281495.24</v>
      </c>
      <c r="BR41" s="60">
        <f>BÖLCSŐDE!BR41+FALUHÁZ!BR41+ÓVODA!BR41+PMH!BR41+ÖNKORMÁNYZAT!BR41</f>
        <v>5500000</v>
      </c>
      <c r="BS41" s="60">
        <f>BÖLCSŐDE!BS41+FALUHÁZ!BS41+ÓVODA!BS41+PMH!BS41+ÖNKORMÁNYZAT!BS41</f>
        <v>5800000</v>
      </c>
      <c r="BT41" s="60">
        <f>BÖLCSŐDE!BT41+FALUHÁZ!BT41+ÓVODA!BT41+PMH!BT41+ÖNKORMÁNYZAT!BT41</f>
        <v>5800000</v>
      </c>
      <c r="BU41" s="60">
        <f>BÖLCSŐDE!BU41+FALUHÁZ!BU41+ÓVODA!BU41+PMH!BU41+ÖNKORMÁNYZAT!BU41</f>
        <v>7700000</v>
      </c>
      <c r="BV41" s="60">
        <f>BÖLCSŐDE!BV41+FALUHÁZ!BV41+ÓVODA!BV41+PMH!BV41+ÖNKORMÁNYZAT!BV41</f>
        <v>9000000</v>
      </c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</row>
    <row r="42" spans="1:92" s="39" customFormat="1" x14ac:dyDescent="0.25">
      <c r="A42" s="54" t="s">
        <v>32</v>
      </c>
      <c r="B42" s="62" t="s">
        <v>198</v>
      </c>
      <c r="C42" s="60">
        <f>BÖLCSŐDE!C42+FALUHÁZ!C42+ÓVODA!C42+PMH!C42+ÖNKORMÁNYZAT!C42</f>
        <v>0</v>
      </c>
      <c r="D42" s="60">
        <f>BÖLCSŐDE!D42+FALUHÁZ!D42+ÓVODA!D42+PMH!D42+ÖNKORMÁNYZAT!D42</f>
        <v>0</v>
      </c>
      <c r="E42" s="60">
        <f>BÖLCSŐDE!E42+FALUHÁZ!E42+ÓVODA!E42+PMH!E42+ÖNKORMÁNYZAT!E42</f>
        <v>0</v>
      </c>
      <c r="F42" s="60">
        <f>BÖLCSŐDE!F42+FALUHÁZ!F42+ÓVODA!F42+PMH!F42+ÖNKORMÁNYZAT!F42</f>
        <v>0</v>
      </c>
      <c r="G42" s="60">
        <f>BÖLCSŐDE!G42+FALUHÁZ!G42+ÓVODA!G42+PMH!G42+ÖNKORMÁNYZAT!G42</f>
        <v>0</v>
      </c>
      <c r="H42" s="60">
        <f>BÖLCSŐDE!H42+FALUHÁZ!H42+ÓVODA!H42+PMH!H42+ÖNKORMÁNYZAT!H42</f>
        <v>0</v>
      </c>
      <c r="I42" s="60">
        <f t="shared" si="0"/>
        <v>0</v>
      </c>
      <c r="J42" s="60">
        <v>0</v>
      </c>
      <c r="K42" s="60">
        <v>0</v>
      </c>
      <c r="L42" s="60">
        <f>BÖLCSŐDE!L42+FALUHÁZ!L42+ÓVODA!L42+PMH!L42+ÖNKORMÁNYZAT!L42</f>
        <v>0</v>
      </c>
      <c r="M42" s="38">
        <f t="shared" si="1"/>
        <v>0</v>
      </c>
      <c r="O42" s="60">
        <f>BÖLCSŐDE!O42+FALUHÁZ!N42+ÓVODA!O42+PMH!O42+ÖNKORMÁNYZAT!O42</f>
        <v>0</v>
      </c>
      <c r="P42" s="60">
        <f>BÖLCSŐDE!P42+FALUHÁZ!O42+ÓVODA!P42+PMH!P42+ÖNKORMÁNYZAT!P42</f>
        <v>0</v>
      </c>
      <c r="Q42" s="60">
        <f>BÖLCSŐDE!Q42+FALUHÁZ!P42+ÓVODA!Q42+PMH!Q42+ÖNKORMÁNYZAT!Q42</f>
        <v>0</v>
      </c>
      <c r="R42" s="60">
        <f>BÖLCSŐDE!R42+FALUHÁZ!Q42+ÓVODA!R42+PMH!R42+ÖNKORMÁNYZAT!R42</f>
        <v>0</v>
      </c>
      <c r="S42" s="60">
        <f>BÖLCSŐDE!S42+FALUHÁZ!R42+ÓVODA!S42+PMH!S42+ÖNKORMÁNYZAT!S42</f>
        <v>0</v>
      </c>
      <c r="T42" s="60">
        <f>BÖLCSŐDE!T42+FALUHÁZ!S42+ÓVODA!T42+PMH!T42+ÖNKORMÁNYZAT!T42</f>
        <v>0</v>
      </c>
      <c r="U42" s="60">
        <f>BÖLCSŐDE!U42+FALUHÁZ!T42+ÓVODA!U42+PMH!U42+ÖNKORMÁNYZAT!U42</f>
        <v>0</v>
      </c>
      <c r="V42" s="60">
        <f>BÖLCSŐDE!V42+FALUHÁZ!U42+ÓVODA!V42+PMH!V42+ÖNKORMÁNYZAT!V42</f>
        <v>0</v>
      </c>
      <c r="W42" s="60">
        <f>BÖLCSŐDE!W42+FALUHÁZ!V42+ÓVODA!W42+PMH!W42+ÖNKORMÁNYZAT!W42</f>
        <v>0</v>
      </c>
      <c r="X42" s="123"/>
      <c r="AA42" s="60">
        <f>BÖLCSŐDE!AA42+FALUHÁZ!Z42+ÓVODA!AA42+PMH!AA42+ÖNKORMÁNYZAT!AA42</f>
        <v>0</v>
      </c>
      <c r="AB42" s="60">
        <f>BÖLCSŐDE!AB42+FALUHÁZ!AA42+ÓVODA!AB42+PMH!AB42+ÖNKORMÁNYZAT!AB42</f>
        <v>0</v>
      </c>
      <c r="AC42" s="60">
        <f>BÖLCSŐDE!AB42+FALUHÁZ!AA42+ÓVODA!AB42+PMH!AB42+ÖNKORMÁNYZAT!AB42</f>
        <v>0</v>
      </c>
      <c r="AD42" s="60">
        <f>BÖLCSŐDE!AC42+FALUHÁZ!AB42+ÓVODA!AC42+PMH!AC42+ÖNKORMÁNYZAT!AC42</f>
        <v>0</v>
      </c>
      <c r="AE42" s="217">
        <f>BÖLCSŐDE!AE42+FALUHÁZ!AD42+ÓVODA!AE42+PMH!AE42+ÖNKORMÁNYZAT!AD42</f>
        <v>0</v>
      </c>
      <c r="AF42" s="123"/>
      <c r="AG42" s="60">
        <f>BÖLCSŐDE!AG42+FALUHÁZ!AG42+ÓVODA!AG41+PMH!AG42+ÖNKORMÁNYZAT!AG42</f>
        <v>2327804</v>
      </c>
      <c r="AH42" s="55"/>
      <c r="AI42" s="60">
        <f>BÖLCSŐDE!AI42+FALUHÁZ!AJ42+ÓVODA!AI41+PMH!AI42+ÖNKORMÁNYZAT!AI42</f>
        <v>2849232.0959999999</v>
      </c>
      <c r="AJ42" s="60"/>
      <c r="AK42" s="60">
        <f>BÖLCSŐDE!AL42+FALUHÁZ!AK42+ÓVODA!AK41+PMH!AK42+ÖNKORMÁNYZAT!AK42</f>
        <v>2849232.0959999999</v>
      </c>
      <c r="AL42"/>
      <c r="AM42" s="60">
        <f>BÖLCSŐDE!AM42+FALUHÁZ!AM42+ÓVODA!AM41+PMH!AM42+ÖNKORMÁNYZAT!AM42</f>
        <v>2823504</v>
      </c>
      <c r="AN42" s="55">
        <f>BÖLCSŐDE!AN42+FALUHÁZ!AN42+ÓVODA!AP41+PMH!AN42+ÖNKORMÁNYZAT!AP42</f>
        <v>2849232</v>
      </c>
      <c r="AO42" s="55">
        <f>BÖLCSŐDE!AO42+FALUHÁZ!AO42+ÓVODA!AQ41+PMH!AO42+ÖNKORMÁNYZAT!AQ42</f>
        <v>703115</v>
      </c>
      <c r="AP42" s="55">
        <f>BÖLCSŐDE!AP42+FALUHÁZ!AP42+ÓVODA!AP41+PMH!AP42+ÖNKORMÁNYZAT!AP42</f>
        <v>2849232</v>
      </c>
      <c r="AQ42" s="55">
        <f>BÖLCSŐDE!AQ42+FALUHÁZ!AQ42+ÓVODA!AQ41+PMH!AQ42+ÖNKORMÁNYZAT!AQ42</f>
        <v>703115</v>
      </c>
      <c r="AR42" s="55">
        <f t="shared" si="4"/>
        <v>2146117</v>
      </c>
      <c r="AS42" s="54">
        <f t="shared" si="5"/>
        <v>24.677351651251985</v>
      </c>
      <c r="AT42" s="60">
        <f>BÖLCSŐDE!AT42+FALUHÁZ!AT42+ÓVODA!AT41+PMH!AT42+ÖNKORMÁNYZAT!AT42</f>
        <v>821067</v>
      </c>
      <c r="AU42" s="60">
        <f t="shared" si="6"/>
        <v>2028165</v>
      </c>
      <c r="AV42" s="59">
        <f t="shared" si="7"/>
        <v>71.182866119712259</v>
      </c>
      <c r="AW42" s="60">
        <f>BÖLCSŐDE!AW42+FALUHÁZ!AW42+ÓVODA!AW41+PMH!AW42+ÖNKORMÁNYZAT!AW42</f>
        <v>2849232</v>
      </c>
      <c r="AX42" s="60">
        <f>BÖLCSŐDE!AX42+FALUHÁZ!AX42+ÓVODA!AX41+PMH!AX42+ÖNKORMÁNYZAT!AX42</f>
        <v>1300000</v>
      </c>
      <c r="AY42" s="60">
        <f>BÖLCSŐDE!AY42+FALUHÁZ!AY42+ÓVODA!AY41+PMH!AY42+ÖNKORMÁNYZAT!AY42</f>
        <v>1300000</v>
      </c>
      <c r="AZ42" s="60">
        <f>BÖLCSŐDE!AZ42+FALUHÁZ!AZ42+ÓVODA!AZ41+PMH!AZ42+ÖNKORMÁNYZAT!AZ42</f>
        <v>1300000</v>
      </c>
      <c r="BA42" s="60">
        <f>BÖLCSŐDE!BA42+FALUHÁZ!BA42+ÓVODA!BA41+PMH!BA42+ÖNKORMÁNYZAT!BA42</f>
        <v>1300000</v>
      </c>
      <c r="BB42" s="60">
        <f>BÖLCSŐDE!BB42+FALUHÁZ!BB42+ÓVODA!BB41+PMH!BB42+ÖNKORMÁNYZAT!BB42</f>
        <v>0</v>
      </c>
      <c r="BC42" s="60">
        <f>BÖLCSŐDE!BC42+FALUHÁZ!BC42+ÓVODA!BC41+PMH!BC42+ÖNKORMÁNYZAT!BC42</f>
        <v>1300000</v>
      </c>
      <c r="BD42" s="60">
        <f>BÖLCSŐDE!BD42+FALUHÁZ!BD42+ÓVODA!BD41+PMH!BD42+ÖNKORMÁNYZAT!BD42</f>
        <v>1146869</v>
      </c>
      <c r="BE42" s="60">
        <f>BÖLCSŐDE!BE42+FALUHÁZ!BE42+ÓVODA!BE41+PMH!BE42+ÖNKORMÁNYZAT!BE42</f>
        <v>1146869</v>
      </c>
      <c r="BF42" s="60">
        <f>BÖLCSŐDE!BF42+FALUHÁZ!BF42+ÓVODA!BF42+PMH!BF42+ÖNKORMÁNYZAT!BF42</f>
        <v>0</v>
      </c>
      <c r="BG42" s="60">
        <f>BÖLCSŐDE!BG42+FALUHÁZ!BG42+ÓVODA!BG42+PMH!BG42+ÖNKORMÁNYZAT!BG42</f>
        <v>0</v>
      </c>
      <c r="BH42" s="60">
        <f>BÖLCSŐDE!BH42+FALUHÁZ!BH42+ÓVODA!BH42+PMH!BH42+ÖNKORMÁNYZAT!BH42</f>
        <v>0</v>
      </c>
      <c r="BI42" s="60">
        <f>BÖLCSŐDE!BI42+FALUHÁZ!BI42+ÓVODA!BI42+PMH!BI42+ÖNKORMÁNYZAT!BI42</f>
        <v>0</v>
      </c>
      <c r="BJ42" s="60">
        <f>BÖLCSŐDE!BJ42+FALUHÁZ!BJ42+ÓVODA!BJ42+PMH!BJ42+ÖNKORMÁNYZAT!BJ42</f>
        <v>0</v>
      </c>
      <c r="BK42" s="60">
        <f>BÖLCSŐDE!BK42+FALUHÁZ!BK42+ÓVODA!BK42+PMH!BK42+ÖNKORMÁNYZAT!BK42</f>
        <v>0</v>
      </c>
      <c r="BL42" s="60">
        <f>BÖLCSŐDE!BL42+FALUHÁZ!BL42+ÓVODA!BL42+PMH!BL42+ÖNKORMÁNYZAT!BL42</f>
        <v>0</v>
      </c>
      <c r="BM42" s="60">
        <f>BÖLCSŐDE!BM42+FALUHÁZ!BM42+ÓVODA!BM42+PMH!BM42+ÖNKORMÁNYZAT!BM42</f>
        <v>0</v>
      </c>
      <c r="BN42" s="60">
        <f>BÖLCSŐDE!BN42+FALUHÁZ!BN42+ÓVODA!BN42+PMH!BN42+ÖNKORMÁNYZAT!BN42</f>
        <v>0</v>
      </c>
      <c r="BO42" s="60">
        <f>BÖLCSŐDE!BO42+FALUHÁZ!BO42+ÓVODA!BO42+PMH!BO42+ÖNKORMÁNYZAT!BO42</f>
        <v>2159592</v>
      </c>
      <c r="BP42" s="60">
        <f>BÖLCSŐDE!BP42+FALUHÁZ!BP42+ÓVODA!BP42+PMH!BP42+ÖNKORMÁNYZAT!BP42</f>
        <v>2591510.4000000004</v>
      </c>
      <c r="BQ42" s="60">
        <f>BÖLCSŐDE!BQ42+FALUHÁZ!BQ42+ÓVODA!BQ42+PMH!BQ42+ÖNKORMÁNYZAT!BQ42</f>
        <v>2850661.4400000004</v>
      </c>
      <c r="BR42" s="60">
        <f>BÖLCSŐDE!BR42+FALUHÁZ!BR42+ÓVODA!BR42+PMH!BR42+ÖNKORMÁNYZAT!BR42</f>
        <v>0</v>
      </c>
      <c r="BS42" s="60">
        <f>BÖLCSŐDE!BS42+FALUHÁZ!BS42+ÓVODA!BS42+PMH!BS42+ÖNKORMÁNYZAT!BS42</f>
        <v>0</v>
      </c>
      <c r="BT42" s="60">
        <f>BÖLCSŐDE!BT42+FALUHÁZ!BT42+ÓVODA!BT42+PMH!BT42+ÖNKORMÁNYZAT!BT42</f>
        <v>0</v>
      </c>
      <c r="BU42" s="60">
        <f>BÖLCSŐDE!BU42+FALUHÁZ!BU42+ÓVODA!BU42+PMH!BU42+ÖNKORMÁNYZAT!BU42</f>
        <v>0</v>
      </c>
      <c r="BV42" s="60">
        <f>BÖLCSŐDE!BV42+FALUHÁZ!BV42+ÓVODA!BV42+PMH!BV42+ÖNKORMÁNYZAT!BV42</f>
        <v>0</v>
      </c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</row>
    <row r="43" spans="1:92" s="39" customFormat="1" x14ac:dyDescent="0.25">
      <c r="A43" s="54" t="s">
        <v>33</v>
      </c>
      <c r="B43" s="60" t="s">
        <v>142</v>
      </c>
      <c r="C43" s="60">
        <f>BÖLCSŐDE!C43+FALUHÁZ!C43+ÓVODA!C43+PMH!C43+ÖNKORMÁNYZAT!C43</f>
        <v>5201540</v>
      </c>
      <c r="D43" s="60">
        <f>BÖLCSŐDE!D43+FALUHÁZ!D43+ÓVODA!D43+PMH!D43+ÖNKORMÁNYZAT!D43</f>
        <v>3313225</v>
      </c>
      <c r="E43" s="60">
        <f>BÖLCSŐDE!E43+FALUHÁZ!E43+ÓVODA!E43+PMH!E43+ÖNKORMÁNYZAT!E43</f>
        <v>1948125</v>
      </c>
      <c r="F43" s="60">
        <f>BÖLCSŐDE!F43+FALUHÁZ!F43+ÓVODA!F43+PMH!F43+ÖNKORMÁNYZAT!F43</f>
        <v>0</v>
      </c>
      <c r="G43" s="60">
        <f>BÖLCSŐDE!G43+FALUHÁZ!G43+ÓVODA!G43+PMH!G43+ÖNKORMÁNYZAT!G43</f>
        <v>1948125</v>
      </c>
      <c r="H43" s="60">
        <f>BÖLCSŐDE!H43+FALUHÁZ!H43+ÓVODA!H43+PMH!H43+ÖNKORMÁNYZAT!H43</f>
        <v>0</v>
      </c>
      <c r="I43" s="60">
        <f t="shared" si="0"/>
        <v>0</v>
      </c>
      <c r="J43" s="60">
        <v>2587729</v>
      </c>
      <c r="K43" s="60">
        <v>2587729</v>
      </c>
      <c r="L43" s="60">
        <f>BÖLCSŐDE!L43+FALUHÁZ!L43+ÓVODA!L43+PMH!L43+ÖNKORMÁNYZAT!L43</f>
        <v>2587729</v>
      </c>
      <c r="M43" s="38">
        <f t="shared" si="1"/>
        <v>0</v>
      </c>
      <c r="O43" s="60">
        <f>BÖLCSŐDE!O43+FALUHÁZ!N43+ÓVODA!O43+PMH!O43+ÖNKORMÁNYZAT!O43</f>
        <v>2587729</v>
      </c>
      <c r="P43" s="60">
        <f>BÖLCSŐDE!P43+FALUHÁZ!O43+ÓVODA!P43+PMH!P43+ÖNKORMÁNYZAT!P43</f>
        <v>1350270</v>
      </c>
      <c r="Q43" s="60">
        <f>BÖLCSŐDE!Q43+FALUHÁZ!P43+ÓVODA!Q43+PMH!Q43+ÖNKORMÁNYZAT!Q43</f>
        <v>1403370</v>
      </c>
      <c r="R43" s="60">
        <f>BÖLCSŐDE!R43+FALUHÁZ!Q43+ÓVODA!R43+PMH!R43+ÖNKORMÁNYZAT!R43</f>
        <v>3266441</v>
      </c>
      <c r="S43" s="60">
        <f>BÖLCSŐDE!S43+FALUHÁZ!R43+ÓVODA!S43+PMH!S43+ÖNKORMÁNYZAT!S43</f>
        <v>1675563</v>
      </c>
      <c r="T43" s="60">
        <f>BÖLCSŐDE!T43+FALUHÁZ!S43+ÓVODA!T43+PMH!T43+ÖNKORMÁNYZAT!T43</f>
        <v>1675563</v>
      </c>
      <c r="U43" s="60">
        <f>BÖLCSŐDE!U43+FALUHÁZ!T43+ÓVODA!U43+PMH!U43+ÖNKORMÁNYZAT!U43</f>
        <v>2410306</v>
      </c>
      <c r="V43" s="60">
        <f>BÖLCSŐDE!V43+FALUHÁZ!U43+ÓVODA!V43+PMH!V43+ÖNKORMÁNYZAT!V43</f>
        <v>2410306</v>
      </c>
      <c r="W43" s="60">
        <f>BÖLCSŐDE!W43+FALUHÁZ!V43+ÓVODA!W43+PMH!W43+ÖNKORMÁNYZAT!W43</f>
        <v>2410306</v>
      </c>
      <c r="X43" s="123">
        <f t="shared" si="2"/>
        <v>69.51660909444692</v>
      </c>
      <c r="AA43" s="60">
        <f>BÖLCSŐDE!AA43+FALUHÁZ!Z43+ÓVODA!AA43+PMH!AA43+ÖNKORMÁNYZAT!AA43</f>
        <v>2410306</v>
      </c>
      <c r="AB43" s="60">
        <f>BÖLCSŐDE!AB43+FALUHÁZ!AA43+ÓVODA!AB43+PMH!AB43+ÖNKORMÁNYZAT!AB43</f>
        <v>549600</v>
      </c>
      <c r="AC43" s="60">
        <f>BÖLCSŐDE!AB43+FALUHÁZ!AA43+ÓVODA!AB43+PMH!AB43+ÖNKORMÁNYZAT!AB43</f>
        <v>549600</v>
      </c>
      <c r="AD43" s="60">
        <f>BÖLCSŐDE!AC43+FALUHÁZ!AB43+ÓVODA!AC43+PMH!AC43+ÖNKORMÁNYZAT!AC43</f>
        <v>761010</v>
      </c>
      <c r="AE43" s="217">
        <f>BÖLCSŐDE!AE43+FALUHÁZ!AD43+ÓVODA!AE43+PMH!AE43+ÖNKORMÁNYZAT!AD43</f>
        <v>202.71590885001117</v>
      </c>
      <c r="AF43" s="123">
        <f t="shared" si="3"/>
        <v>31.573169547766966</v>
      </c>
      <c r="AG43" s="60">
        <f>BÖLCSŐDE!AG43+FALUHÁZ!AG43+ÓVODA!AG42+PMH!AG43+ÖNKORMÁNYZAT!AG43</f>
        <v>1670910</v>
      </c>
      <c r="AH43" s="55"/>
      <c r="AI43" s="60">
        <f>BÖLCSŐDE!AI43+FALUHÁZ!AJ43+ÓVODA!AI42+PMH!AI43+ÖNKORMÁNYZAT!AI43</f>
        <v>1471966</v>
      </c>
      <c r="AJ43" s="60"/>
      <c r="AK43" s="60">
        <f>BÖLCSŐDE!AL43+FALUHÁZ!AK43+ÓVODA!AK42+PMH!AK43+ÖNKORMÁNYZAT!AK43</f>
        <v>1471966</v>
      </c>
      <c r="AL43"/>
      <c r="AM43" s="60">
        <f>BÖLCSŐDE!AM43+FALUHÁZ!AM43+ÓVODA!AM42+PMH!AM43+ÖNKORMÁNYZAT!AM43</f>
        <v>1787086</v>
      </c>
      <c r="AN43" s="55">
        <f>BÖLCSŐDE!AN43+FALUHÁZ!AN43+ÓVODA!AP42+PMH!AN43+ÖNKORMÁNYZAT!AP43</f>
        <v>1471966</v>
      </c>
      <c r="AO43" s="55">
        <f>BÖLCSŐDE!AO43+FALUHÁZ!AO43+ÓVODA!AQ42+PMH!AO43+ÖNKORMÁNYZAT!AQ43</f>
        <v>0</v>
      </c>
      <c r="AP43" s="55">
        <f>BÖLCSŐDE!AP43+FALUHÁZ!AP43+ÓVODA!AP42+PMH!AP43+ÖNKORMÁNYZAT!AP43</f>
        <v>1471966</v>
      </c>
      <c r="AQ43" s="55">
        <f>BÖLCSŐDE!AQ43+FALUHÁZ!AQ43+ÓVODA!AQ42+PMH!AQ43+ÖNKORMÁNYZAT!AQ43</f>
        <v>0</v>
      </c>
      <c r="AR43" s="55">
        <f t="shared" si="4"/>
        <v>1471966</v>
      </c>
      <c r="AS43" s="54">
        <f t="shared" si="5"/>
        <v>0</v>
      </c>
      <c r="AT43" s="60">
        <f>BÖLCSŐDE!AT43+FALUHÁZ!AT43+ÓVODA!AT42+PMH!AT43+ÖNKORMÁNYZAT!AT43</f>
        <v>0</v>
      </c>
      <c r="AU43" s="60">
        <f t="shared" si="6"/>
        <v>1471966</v>
      </c>
      <c r="AV43" s="59">
        <f t="shared" si="7"/>
        <v>100</v>
      </c>
      <c r="AW43" s="60">
        <f>BÖLCSŐDE!AW43+FALUHÁZ!AW43+ÓVODA!AW42+PMH!AW43+ÖNKORMÁNYZAT!AW43</f>
        <v>1471966</v>
      </c>
      <c r="AX43" s="60">
        <f>BÖLCSŐDE!AX43+FALUHÁZ!AX43+ÓVODA!AX42+PMH!AX43+ÖNKORMÁNYZAT!AX43</f>
        <v>1589723.28</v>
      </c>
      <c r="AY43" s="60">
        <f>BÖLCSŐDE!AY43+FALUHÁZ!AY43+ÓVODA!AY42+PMH!AY43+ÖNKORMÁNYZAT!AY43</f>
        <v>0</v>
      </c>
      <c r="AZ43" s="60">
        <f>BÖLCSŐDE!AZ43+FALUHÁZ!AZ43+ÓVODA!AZ42+PMH!AZ43+ÖNKORMÁNYZAT!AZ43</f>
        <v>0</v>
      </c>
      <c r="BA43" s="60">
        <f>BÖLCSŐDE!BA43+FALUHÁZ!BA43+ÓVODA!BA42+PMH!BA43+ÖNKORMÁNYZAT!BA43</f>
        <v>0</v>
      </c>
      <c r="BB43" s="60">
        <f>BÖLCSŐDE!BB43+FALUHÁZ!BB43+ÓVODA!BB42+PMH!BB43+ÖNKORMÁNYZAT!BB43</f>
        <v>1000000</v>
      </c>
      <c r="BC43" s="60">
        <f>BÖLCSŐDE!BC43+FALUHÁZ!BC43+ÓVODA!BC42+PMH!BC43+ÖNKORMÁNYZAT!BC43</f>
        <v>205364</v>
      </c>
      <c r="BD43" s="60">
        <f>BÖLCSŐDE!BD43+FALUHÁZ!BD43+ÓVODA!BD42+PMH!BD43+ÖNKORMÁNYZAT!BD43</f>
        <v>205364</v>
      </c>
      <c r="BE43" s="60">
        <f>BÖLCSŐDE!BE43+FALUHÁZ!BE43+ÓVODA!BE42+PMH!BE43+ÖNKORMÁNYZAT!BE43</f>
        <v>205364</v>
      </c>
      <c r="BF43" s="60">
        <f>BÖLCSŐDE!BF43+FALUHÁZ!BF43+ÓVODA!BF43+PMH!BF43+ÖNKORMÁNYZAT!BF43</f>
        <v>2048219</v>
      </c>
      <c r="BG43" s="60">
        <f>BÖLCSŐDE!BG43+FALUHÁZ!BG43+ÓVODA!BG43+PMH!BG43+ÖNKORMÁNYZAT!BG43</f>
        <v>2234420.7272727275</v>
      </c>
      <c r="BH43" s="60">
        <f>BÖLCSŐDE!BH43+FALUHÁZ!BH43+ÓVODA!BH43+PMH!BH43+ÖNKORMÁNYZAT!BH43</f>
        <v>4006453</v>
      </c>
      <c r="BI43" s="60">
        <f>BÖLCSŐDE!BI43+FALUHÁZ!BI43+ÓVODA!BI43+PMH!BI43+ÖNKORMÁNYZAT!BI43</f>
        <v>4006453</v>
      </c>
      <c r="BJ43" s="60">
        <f>BÖLCSŐDE!BJ43+FALUHÁZ!BJ43+ÓVODA!BJ43+PMH!BJ43+ÖNKORMÁNYZAT!BJ43</f>
        <v>1037452</v>
      </c>
      <c r="BK43" s="60">
        <f>BÖLCSŐDE!BK43+FALUHÁZ!BK43+ÓVODA!BK43+PMH!BK43+ÖNKORMÁNYZAT!BK43</f>
        <v>2705550</v>
      </c>
      <c r="BL43" s="60">
        <f>BÖLCSŐDE!BL43+FALUHÁZ!BL43+ÓVODA!BL43+PMH!BL43+ÖNKORMÁNYZAT!BL43</f>
        <v>4006453</v>
      </c>
      <c r="BM43" s="60">
        <f>BÖLCSŐDE!BM43+FALUHÁZ!BM43+ÓVODA!BM43+PMH!BM43+ÖNKORMÁNYZAT!BM43</f>
        <v>4843037</v>
      </c>
      <c r="BN43" s="60">
        <f>BÖLCSŐDE!BN43+FALUHÁZ!BN43+ÓVODA!BN43+PMH!BN43+ÖNKORMÁNYZAT!BN43</f>
        <v>4843037</v>
      </c>
      <c r="BO43" s="60">
        <f>BÖLCSŐDE!BO43+FALUHÁZ!BO43+ÓVODA!BO43+PMH!BO43+ÖNKORMÁNYZAT!BO43</f>
        <v>2422603</v>
      </c>
      <c r="BP43" s="60">
        <f>BÖLCSŐDE!BP43+FALUHÁZ!BP43+ÓVODA!BP43+PMH!BP43+ÖNKORMÁNYZAT!BP43</f>
        <v>2907123.5999999996</v>
      </c>
      <c r="BQ43" s="60">
        <f>BÖLCSŐDE!BQ43+FALUHÁZ!BQ43+ÓVODA!BQ43+PMH!BQ43+ÖNKORMÁNYZAT!BQ43</f>
        <v>3197835.9600000004</v>
      </c>
      <c r="BR43" s="60">
        <f>BÖLCSŐDE!BR43+FALUHÁZ!BR43+ÓVODA!BR43+PMH!BR43+ÖNKORMÁNYZAT!BR43</f>
        <v>5020200</v>
      </c>
      <c r="BS43" s="60">
        <f>BÖLCSŐDE!BS43+FALUHÁZ!BS43+ÓVODA!BS43+PMH!BS43+ÖNKORMÁNYZAT!BS43</f>
        <v>5331800</v>
      </c>
      <c r="BT43" s="60">
        <f>BÖLCSŐDE!BT43+FALUHÁZ!BT43+ÓVODA!BT43+PMH!BT43+ÖNKORMÁNYZAT!BT43</f>
        <v>5331800</v>
      </c>
      <c r="BU43" s="60">
        <f>BÖLCSŐDE!BU43+FALUHÁZ!BU43+ÓVODA!BU43+PMH!BU43+ÖNKORMÁNYZAT!BU43</f>
        <v>9170000</v>
      </c>
      <c r="BV43" s="60">
        <f>BÖLCSŐDE!BV43+FALUHÁZ!BV43+ÓVODA!BV43+PMH!BV43+ÖNKORMÁNYZAT!BV43</f>
        <v>9377200</v>
      </c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</row>
    <row r="44" spans="1:92" s="39" customFormat="1" x14ac:dyDescent="0.25">
      <c r="A44" s="54" t="s">
        <v>34</v>
      </c>
      <c r="B44" s="60" t="s">
        <v>143</v>
      </c>
      <c r="C44" s="60">
        <f>BÖLCSŐDE!C44+FALUHÁZ!C44+ÓVODA!C44+PMH!C44+ÖNKORMÁNYZAT!C44</f>
        <v>9397994</v>
      </c>
      <c r="D44" s="60">
        <f>BÖLCSŐDE!D44+FALUHÁZ!D44+ÓVODA!D44+PMH!D44+ÖNKORMÁNYZAT!D44</f>
        <v>8170794</v>
      </c>
      <c r="E44" s="60">
        <f>BÖLCSŐDE!E44+FALUHÁZ!E44+ÓVODA!E44+PMH!E44+ÖNKORMÁNYZAT!E44</f>
        <v>9924006.6666666679</v>
      </c>
      <c r="F44" s="60">
        <f>BÖLCSŐDE!F44+FALUHÁZ!F44+ÓVODA!F44+PMH!F44+ÖNKORMÁNYZAT!F44</f>
        <v>8895225</v>
      </c>
      <c r="G44" s="60">
        <f>BÖLCSŐDE!G44+FALUHÁZ!G44+ÓVODA!G44+PMH!G44+ÖNKORMÁNYZAT!G44</f>
        <v>10195476</v>
      </c>
      <c r="H44" s="60">
        <f>BÖLCSŐDE!H44+FALUHÁZ!H44+ÓVODA!H44+PMH!H44+ÖNKORMÁNYZAT!H44</f>
        <v>9381823</v>
      </c>
      <c r="I44" s="60">
        <f t="shared" si="0"/>
        <v>10234716</v>
      </c>
      <c r="J44" s="60">
        <v>10546906</v>
      </c>
      <c r="K44" s="60">
        <v>9246905.6666666679</v>
      </c>
      <c r="L44" s="60" t="e">
        <f>BÖLCSŐDE!L44+FALUHÁZ!L44+ÓVODA!L44+PMH!L44+ÖNKORMÁNYZAT!L44</f>
        <v>#REF!</v>
      </c>
      <c r="M44" s="38" t="e">
        <f t="shared" si="1"/>
        <v>#REF!</v>
      </c>
      <c r="O44" s="60">
        <f>BÖLCSŐDE!O44+FALUHÁZ!N44+ÓVODA!O44+PMH!O44+ÖNKORMÁNYZAT!O44</f>
        <v>9346906</v>
      </c>
      <c r="P44" s="60">
        <f>BÖLCSŐDE!P44+FALUHÁZ!O44+ÓVODA!P44+PMH!P44+ÖNKORMÁNYZAT!P44</f>
        <v>8030673</v>
      </c>
      <c r="Q44" s="60">
        <f>BÖLCSŐDE!Q44+FALUHÁZ!P44+ÓVODA!Q44+PMH!Q44+ÖNKORMÁNYZAT!Q44</f>
        <v>8542879</v>
      </c>
      <c r="R44" s="60">
        <f>BÖLCSŐDE!R44+FALUHÁZ!Q44+ÓVODA!R44+PMH!R44+ÖNKORMÁNYZAT!R44</f>
        <v>9346906</v>
      </c>
      <c r="S44" s="60">
        <f>BÖLCSŐDE!S44+FALUHÁZ!R44+ÓVODA!S44+PMH!S44+ÖNKORMÁNYZAT!S44</f>
        <v>9531088</v>
      </c>
      <c r="T44" s="60">
        <f>BÖLCSŐDE!T44+FALUHÁZ!S44+ÓVODA!T44+PMH!T44+ÖNKORMÁNYZAT!T44</f>
        <v>9531088</v>
      </c>
      <c r="U44" s="60">
        <f>BÖLCSŐDE!U44+FALUHÁZ!T44+ÓVODA!U44+PMH!U44+ÖNKORMÁNYZAT!U44</f>
        <v>9928718.5</v>
      </c>
      <c r="V44" s="60">
        <f>BÖLCSŐDE!V44+FALUHÁZ!U44+ÓVODA!V44+PMH!V44+ÖNKORMÁNYZAT!V44</f>
        <v>9928718.5</v>
      </c>
      <c r="W44" s="60">
        <f>BÖLCSŐDE!W44+FALUHÁZ!V44+ÓVODA!W44+PMH!W44+ÖNKORMÁNYZAT!W44</f>
        <v>9928718.5</v>
      </c>
      <c r="X44" s="123">
        <f t="shared" si="2"/>
        <v>95.995147812882394</v>
      </c>
      <c r="AA44" s="60">
        <f>BÖLCSŐDE!AA44+FALUHÁZ!Z44+ÓVODA!AA44+PMH!AA44+ÖNKORMÁNYZAT!AA44</f>
        <v>9928718.5</v>
      </c>
      <c r="AB44" s="60">
        <f>BÖLCSŐDE!AB44+FALUHÁZ!AA44+ÓVODA!AB44+PMH!AB44+ÖNKORMÁNYZAT!AB44</f>
        <v>7436859</v>
      </c>
      <c r="AC44" s="60">
        <f>BÖLCSŐDE!AB44+FALUHÁZ!AA44+ÓVODA!AB44+PMH!AB44+ÖNKORMÁNYZAT!AB44</f>
        <v>7436859</v>
      </c>
      <c r="AD44" s="60">
        <f>BÖLCSŐDE!AC44+FALUHÁZ!AB44+ÓVODA!AC44+PMH!AC44+ÖNKORMÁNYZAT!AC44</f>
        <v>7436859</v>
      </c>
      <c r="AE44" s="217">
        <f>BÖLCSŐDE!AE44+FALUHÁZ!AD44+ÓVODA!AE44+PMH!AE44+ÖNKORMÁNYZAT!AD44</f>
        <v>1019835.4676105656</v>
      </c>
      <c r="AF44" s="123">
        <f t="shared" si="3"/>
        <v>74.902506300284372</v>
      </c>
      <c r="AG44" s="60">
        <f>BÖLCSŐDE!AG44+FALUHÁZ!AG44+ÓVODA!AG43+PMH!AG44+ÖNKORMÁNYZAT!AG44</f>
        <v>4637245</v>
      </c>
      <c r="AH44" s="55"/>
      <c r="AI44" s="60">
        <f>BÖLCSŐDE!AI44+FALUHÁZ!AJ44+ÓVODA!AI43+PMH!AI44+ÖNKORMÁNYZAT!AI44</f>
        <v>7136588.2000000002</v>
      </c>
      <c r="AJ44" s="60"/>
      <c r="AK44" s="60">
        <f>BÖLCSŐDE!AL44+FALUHÁZ!AK44+ÓVODA!AK43+PMH!AK44+ÖNKORMÁNYZAT!AK44</f>
        <v>7358431.2000000002</v>
      </c>
      <c r="AL44"/>
      <c r="AM44" s="60">
        <f>BÖLCSŐDE!AM44+FALUHÁZ!AM44+ÓVODA!AM43+PMH!AM44+ÖNKORMÁNYZAT!AM44</f>
        <v>4637245</v>
      </c>
      <c r="AN44" s="55">
        <f>BÖLCSŐDE!AN44+FALUHÁZ!AN44+ÓVODA!AP43+PMH!AN44+ÖNKORMÁNYZAT!AP44</f>
        <v>7358431</v>
      </c>
      <c r="AO44" s="55">
        <f>BÖLCSŐDE!AO44+FALUHÁZ!AO44+ÓVODA!AQ43+PMH!AO44+ÖNKORMÁNYZAT!AQ44</f>
        <v>3572426</v>
      </c>
      <c r="AP44" s="55">
        <f>BÖLCSŐDE!AP44+FALUHÁZ!AP44+ÓVODA!AP43+PMH!AP44+ÖNKORMÁNYZAT!AP44</f>
        <v>7358431</v>
      </c>
      <c r="AQ44" s="55">
        <f>BÖLCSŐDE!AQ44+FALUHÁZ!AQ44+ÓVODA!AQ43+PMH!AQ44+ÖNKORMÁNYZAT!AQ44</f>
        <v>4031846</v>
      </c>
      <c r="AR44" s="55">
        <f t="shared" si="4"/>
        <v>3326585</v>
      </c>
      <c r="AS44" s="54">
        <f t="shared" si="5"/>
        <v>54.792196869142352</v>
      </c>
      <c r="AT44" s="60">
        <f>BÖLCSŐDE!AT44+FALUHÁZ!AT44+ÓVODA!AT43+PMH!AT44+ÖNKORMÁNYZAT!AT44</f>
        <v>4278496</v>
      </c>
      <c r="AU44" s="60">
        <f t="shared" si="6"/>
        <v>3079935</v>
      </c>
      <c r="AV44" s="59">
        <f t="shared" si="7"/>
        <v>41.855865740943962</v>
      </c>
      <c r="AW44" s="60">
        <f>BÖLCSŐDE!AW44+FALUHÁZ!AW44+ÓVODA!AW43+PMH!AW44+ÖNKORMÁNYZAT!AW44</f>
        <v>7358431</v>
      </c>
      <c r="AX44" s="60">
        <f>BÖLCSŐDE!AX44+FALUHÁZ!AX44+ÓVODA!AX43+PMH!AX44+ÖNKORMÁNYZAT!AX44</f>
        <v>6836625.4800000004</v>
      </c>
      <c r="AY44" s="60">
        <f>BÖLCSŐDE!AY44+FALUHÁZ!AY44+ÓVODA!AY43+PMH!AY44+ÖNKORMÁNYZAT!AY44</f>
        <v>6836625.4800000004</v>
      </c>
      <c r="AZ44" s="60">
        <f>BÖLCSŐDE!AZ44+FALUHÁZ!AZ44+ÓVODA!AZ43+PMH!AZ44+ÖNKORMÁNYZAT!AZ44</f>
        <v>6742194</v>
      </c>
      <c r="BA44" s="60">
        <f>BÖLCSŐDE!BA44+FALUHÁZ!BA44+ÓVODA!BA43+PMH!BA44+ÖNKORMÁNYZAT!BA44</f>
        <v>8555969.040000001</v>
      </c>
      <c r="BB44" s="60">
        <f>BÖLCSŐDE!BB44+FALUHÁZ!BB44+ÓVODA!BB43+PMH!BB44+ÖNKORMÁNYZAT!BB44</f>
        <v>12711434</v>
      </c>
      <c r="BC44" s="60">
        <f>BÖLCSŐDE!BC44+FALUHÁZ!BC44+ÓVODA!BC43+PMH!BC44+ÖNKORMÁNYZAT!BC44</f>
        <v>8568280</v>
      </c>
      <c r="BD44" s="60">
        <f>BÖLCSŐDE!BD44+FALUHÁZ!BD44+ÓVODA!BD43+PMH!BD44+ÖNKORMÁNYZAT!BD44</f>
        <v>6084808</v>
      </c>
      <c r="BE44" s="60">
        <f>BÖLCSŐDE!BE44+FALUHÁZ!BE44+ÓVODA!BE43+PMH!BE44+ÖNKORMÁNYZAT!BE44</f>
        <v>7122663</v>
      </c>
      <c r="BF44" s="60">
        <f>BÖLCSŐDE!BF44+FALUHÁZ!BF44+ÓVODA!BF44+PMH!BF44+ÖNKORMÁNYZAT!BF44</f>
        <v>10077491</v>
      </c>
      <c r="BG44" s="60">
        <f>BÖLCSŐDE!BG44+FALUHÁZ!BG44+ÓVODA!BG44+PMH!BG44+ÖNKORMÁNYZAT!BG44</f>
        <v>10993626.545454545</v>
      </c>
      <c r="BH44" s="60">
        <f>BÖLCSŐDE!BH44+FALUHÁZ!BH44+ÓVODA!BH44+PMH!BH44+ÖNKORMÁNYZAT!BH44</f>
        <v>14695583</v>
      </c>
      <c r="BI44" s="60">
        <f>BÖLCSŐDE!BI44+FALUHÁZ!BI44+ÓVODA!BI44+PMH!BI44+ÖNKORMÁNYZAT!BI44</f>
        <v>14695583</v>
      </c>
      <c r="BJ44" s="60">
        <f>BÖLCSŐDE!BJ44+FALUHÁZ!BJ44+ÓVODA!BJ44+PMH!BJ44+ÖNKORMÁNYZAT!BJ44</f>
        <v>10110594</v>
      </c>
      <c r="BK44" s="60">
        <f>BÖLCSŐDE!BK44+FALUHÁZ!BK44+ÓVODA!BK44+PMH!BK44+ÖNKORMÁNYZAT!BK44</f>
        <v>10110594</v>
      </c>
      <c r="BL44" s="60">
        <f>BÖLCSŐDE!BL44+FALUHÁZ!BL44+ÓVODA!BL44+PMH!BL44+ÖNKORMÁNYZAT!BL44</f>
        <v>14695583</v>
      </c>
      <c r="BM44" s="60">
        <f>BÖLCSŐDE!BM44+FALUHÁZ!BM44+ÓVODA!BM44+PMH!BM44+ÖNKORMÁNYZAT!BM44</f>
        <v>14562000</v>
      </c>
      <c r="BN44" s="60">
        <f>BÖLCSŐDE!BN44+FALUHÁZ!BN44+ÓVODA!BN44+PMH!BN44+ÖNKORMÁNYZAT!BN44</f>
        <v>14562000</v>
      </c>
      <c r="BO44" s="60">
        <f>BÖLCSŐDE!BO44+FALUHÁZ!BO44+ÓVODA!BO44+PMH!BO44+ÖNKORMÁNYZAT!BO44</f>
        <v>10551158</v>
      </c>
      <c r="BP44" s="60">
        <f>BÖLCSŐDE!BP44+FALUHÁZ!BP44+ÓVODA!BP44+PMH!BP44+ÖNKORMÁNYZAT!BP44</f>
        <v>12661389.6</v>
      </c>
      <c r="BQ44" s="60">
        <f>BÖLCSŐDE!BQ44+FALUHÁZ!BQ44+ÓVODA!BQ44+PMH!BQ44+ÖNKORMÁNYZAT!BQ44</f>
        <v>13927528.560000001</v>
      </c>
      <c r="BR44" s="60">
        <f>BÖLCSŐDE!BR44+FALUHÁZ!BR44+ÓVODA!BR44+PMH!BR44+ÖNKORMÁNYZAT!BR44</f>
        <v>13755500</v>
      </c>
      <c r="BS44" s="60">
        <f>BÖLCSŐDE!BS44+FALUHÁZ!BS44+ÓVODA!BS44+PMH!BS44+ÖNKORMÁNYZAT!BS44</f>
        <v>13755500</v>
      </c>
      <c r="BT44" s="60">
        <f>BÖLCSŐDE!BT44+FALUHÁZ!BT44+ÓVODA!BT44+PMH!BT44+ÖNKORMÁNYZAT!BT44</f>
        <v>13755500</v>
      </c>
      <c r="BU44" s="60">
        <f>BÖLCSŐDE!BU44+FALUHÁZ!BU44+ÓVODA!BU44+PMH!BU44+ÖNKORMÁNYZAT!BU44</f>
        <v>15688500</v>
      </c>
      <c r="BV44" s="60">
        <f>BÖLCSŐDE!BV44+FALUHÁZ!BV44+ÓVODA!BV44+PMH!BV44+ÖNKORMÁNYZAT!BV44</f>
        <v>14833750</v>
      </c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</row>
    <row r="45" spans="1:92" s="39" customFormat="1" x14ac:dyDescent="0.25">
      <c r="A45" s="54" t="s">
        <v>35</v>
      </c>
      <c r="B45" s="60" t="s">
        <v>144</v>
      </c>
      <c r="C45" s="60">
        <f>BÖLCSŐDE!C45+FALUHÁZ!C45+ÓVODA!C45+PMH!C45+ÖNKORMÁNYZAT!C45</f>
        <v>532000</v>
      </c>
      <c r="D45" s="60">
        <f>BÖLCSŐDE!D45+FALUHÁZ!D45+ÓVODA!D45+PMH!D45+ÖNKORMÁNYZAT!D45</f>
        <v>367271</v>
      </c>
      <c r="E45" s="60">
        <f>BÖLCSŐDE!E45+FALUHÁZ!E45+ÓVODA!E45+PMH!E45+ÖNKORMÁNYZAT!E45</f>
        <v>430000</v>
      </c>
      <c r="F45" s="60">
        <f>BÖLCSŐDE!F45+FALUHÁZ!F45+ÓVODA!F45+PMH!F45+ÖNKORMÁNYZAT!F45</f>
        <v>545263</v>
      </c>
      <c r="G45" s="60">
        <f>BÖLCSŐDE!G45+FALUHÁZ!G45+ÓVODA!G45+PMH!G45+ÖNKORMÁNYZAT!G45</f>
        <v>617805</v>
      </c>
      <c r="H45" s="60">
        <f>BÖLCSŐDE!H45+FALUHÁZ!H45+ÓVODA!H45+PMH!H45+ÖNKORMÁNYZAT!H45</f>
        <v>568013</v>
      </c>
      <c r="I45" s="60">
        <f t="shared" si="0"/>
        <v>619650.54545454541</v>
      </c>
      <c r="J45" s="60">
        <v>2732862</v>
      </c>
      <c r="K45" s="60">
        <v>2642862</v>
      </c>
      <c r="L45" s="60">
        <f>BÖLCSŐDE!L45+FALUHÁZ!L45+ÓVODA!L45+PMH!L45+ÖNKORMÁNYZAT!L45</f>
        <v>2642862</v>
      </c>
      <c r="M45" s="38">
        <f t="shared" si="1"/>
        <v>426.50846019369277</v>
      </c>
      <c r="O45" s="60">
        <f>BÖLCSŐDE!O45+FALUHÁZ!N45+ÓVODA!O45+PMH!O45+ÖNKORMÁNYZAT!O45</f>
        <v>2642862</v>
      </c>
      <c r="P45" s="60">
        <f>BÖLCSŐDE!P45+FALUHÁZ!O45+ÓVODA!P45+PMH!P45+ÖNKORMÁNYZAT!P45</f>
        <v>468999</v>
      </c>
      <c r="Q45" s="60">
        <f>BÖLCSŐDE!Q45+FALUHÁZ!P45+ÓVODA!Q45+PMH!Q45+ÖNKORMÁNYZAT!Q45</f>
        <v>556629</v>
      </c>
      <c r="R45" s="60">
        <f>BÖLCSŐDE!R45+FALUHÁZ!Q45+ÓVODA!R45+PMH!R45+ÖNKORMÁNYZAT!R45</f>
        <v>2379662</v>
      </c>
      <c r="S45" s="60">
        <f>BÖLCSŐDE!S45+FALUHÁZ!R45+ÓVODA!S45+PMH!S45+ÖNKORMÁNYZAT!S45</f>
        <v>984005</v>
      </c>
      <c r="T45" s="60">
        <f>BÖLCSŐDE!T45+FALUHÁZ!S45+ÓVODA!T45+PMH!T45+ÖNKORMÁNYZAT!T45</f>
        <v>750009</v>
      </c>
      <c r="U45" s="60">
        <f>BÖLCSŐDE!U45+FALUHÁZ!T45+ÓVODA!U45+PMH!U45+ÖNKORMÁNYZAT!U45</f>
        <v>987662</v>
      </c>
      <c r="V45" s="60">
        <f>BÖLCSŐDE!V45+FALUHÁZ!U45+ÓVODA!V45+PMH!V45+ÖNKORMÁNYZAT!V45</f>
        <v>987662</v>
      </c>
      <c r="W45" s="60">
        <f>BÖLCSŐDE!W45+FALUHÁZ!V45+ÓVODA!W45+PMH!W45+ÖNKORMÁNYZAT!W45</f>
        <v>987662</v>
      </c>
      <c r="X45" s="123">
        <f t="shared" si="2"/>
        <v>75.937820833443013</v>
      </c>
      <c r="AA45" s="60">
        <f>BÖLCSŐDE!AA45+FALUHÁZ!Z45+ÓVODA!AA45+PMH!AA45+ÖNKORMÁNYZAT!AA45</f>
        <v>987662</v>
      </c>
      <c r="AB45" s="60">
        <f>BÖLCSŐDE!AB45+FALUHÁZ!AA45+ÓVODA!AB45+PMH!AB45+ÖNKORMÁNYZAT!AB45</f>
        <v>405191</v>
      </c>
      <c r="AC45" s="60">
        <f>BÖLCSŐDE!AB45+FALUHÁZ!AA45+ÓVODA!AB45+PMH!AB45+ÖNKORMÁNYZAT!AB45</f>
        <v>405191</v>
      </c>
      <c r="AD45" s="60">
        <f>BÖLCSŐDE!AC45+FALUHÁZ!AB45+ÓVODA!AC45+PMH!AC45+ÖNKORMÁNYZAT!AC45</f>
        <v>528981</v>
      </c>
      <c r="AE45" s="217">
        <f>BÖLCSŐDE!AE45+FALUHÁZ!AD45+ÓVODA!AE45+PMH!AE45+ÖNKORMÁNYZAT!AD45</f>
        <v>208.22129551630437</v>
      </c>
      <c r="AF45" s="123">
        <f t="shared" si="3"/>
        <v>53.558909829476079</v>
      </c>
      <c r="AG45" s="60">
        <f>BÖLCSŐDE!AG45+FALUHÁZ!AG45+ÓVODA!AG44+PMH!AG45+ÖNKORMÁNYZAT!AG45</f>
        <v>3721496</v>
      </c>
      <c r="AH45" s="55"/>
      <c r="AI45" s="60">
        <f>BÖLCSŐDE!AI45+FALUHÁZ!AJ45+ÓVODA!AI44+PMH!AI45+ÖNKORMÁNYZAT!AI45</f>
        <v>6961000</v>
      </c>
      <c r="AJ45" s="60"/>
      <c r="AK45" s="60">
        <f>BÖLCSŐDE!AL45+FALUHÁZ!AK45+ÓVODA!AK44+PMH!AK45+ÖNKORMÁNYZAT!AK45</f>
        <v>7045000</v>
      </c>
      <c r="AL45"/>
      <c r="AM45" s="60">
        <f>BÖLCSŐDE!AM45+FALUHÁZ!AM45+ÓVODA!AM44+PMH!AM45+ÖNKORMÁNYZAT!AM45</f>
        <v>3783251</v>
      </c>
      <c r="AN45" s="55">
        <f>BÖLCSŐDE!AN45+FALUHÁZ!AN45+ÓVODA!AP44+PMH!AN45+ÖNKORMÁNYZAT!AP45</f>
        <v>7045000</v>
      </c>
      <c r="AO45" s="55">
        <f>BÖLCSŐDE!AO45+FALUHÁZ!AO45+ÓVODA!AQ44+PMH!AO45+ÖNKORMÁNYZAT!AQ45</f>
        <v>4537273</v>
      </c>
      <c r="AP45" s="55">
        <f>BÖLCSŐDE!AP45+FALUHÁZ!AP45+ÓVODA!AP44+PMH!AP45+ÖNKORMÁNYZAT!AP45</f>
        <v>7045000</v>
      </c>
      <c r="AQ45" s="55">
        <f>BÖLCSŐDE!AQ45+FALUHÁZ!AQ45+ÓVODA!AQ44+PMH!AQ45+ÖNKORMÁNYZAT!AQ45</f>
        <v>4609708</v>
      </c>
      <c r="AR45" s="55">
        <f t="shared" si="4"/>
        <v>2435292</v>
      </c>
      <c r="AS45" s="54">
        <f t="shared" si="5"/>
        <v>65.43233498935416</v>
      </c>
      <c r="AT45" s="60">
        <f>BÖLCSŐDE!AT45+FALUHÁZ!AT45+ÓVODA!AT44+PMH!AT45+ÖNKORMÁNYZAT!AT45</f>
        <v>4662204</v>
      </c>
      <c r="AU45" s="60">
        <f t="shared" si="6"/>
        <v>2382796</v>
      </c>
      <c r="AV45" s="59">
        <f t="shared" si="7"/>
        <v>33.822512420156137</v>
      </c>
      <c r="AW45" s="60">
        <f>BÖLCSŐDE!AW45+FALUHÁZ!AW45+ÓVODA!AW44+PMH!AW45+ÖNKORMÁNYZAT!AW45</f>
        <v>7045000</v>
      </c>
      <c r="AX45" s="60">
        <f>BÖLCSŐDE!AX45+FALUHÁZ!AX45+ÓVODA!AX44+PMH!AX45+ÖNKORMÁNYZAT!AX45</f>
        <v>7608600</v>
      </c>
      <c r="AY45" s="60">
        <f>BÖLCSŐDE!AY45+FALUHÁZ!AY45+ÓVODA!AY44+PMH!AY45+ÖNKORMÁNYZAT!AY45</f>
        <v>7608600</v>
      </c>
      <c r="AZ45" s="60">
        <f>BÖLCSŐDE!AZ45+FALUHÁZ!AZ45+ÓVODA!AZ44+PMH!AZ45+ÖNKORMÁNYZAT!AZ45</f>
        <v>7459240</v>
      </c>
      <c r="BA45" s="60">
        <f>BÖLCSŐDE!BA45+FALUHÁZ!BA45+ÓVODA!BA44+PMH!BA45+ÖNKORMÁNYZAT!BA45</f>
        <v>7599000</v>
      </c>
      <c r="BB45" s="60">
        <f>BÖLCSŐDE!BB45+FALUHÁZ!BB45+ÓVODA!BB44+PMH!BB45+ÖNKORMÁNYZAT!BB45</f>
        <v>891098</v>
      </c>
      <c r="BC45" s="60">
        <f>BÖLCSŐDE!BC45+FALUHÁZ!BC45+ÓVODA!BC44+PMH!BC45+ÖNKORMÁNYZAT!BC45</f>
        <v>7459240</v>
      </c>
      <c r="BD45" s="60">
        <f>BÖLCSŐDE!BD45+FALUHÁZ!BD45+ÓVODA!BD44+PMH!BD45+ÖNKORMÁNYZAT!BD45</f>
        <v>4859778</v>
      </c>
      <c r="BE45" s="60">
        <f>BÖLCSŐDE!BE45+FALUHÁZ!BE45+ÓVODA!BE44+PMH!BE45+ÖNKORMÁNYZAT!BE45</f>
        <v>5022438</v>
      </c>
      <c r="BF45" s="60">
        <f>BÖLCSŐDE!BF45+FALUHÁZ!BF45+ÓVODA!BF45+PMH!BF45+ÖNKORMÁNYZAT!BF45</f>
        <v>404006</v>
      </c>
      <c r="BG45" s="60">
        <f>BÖLCSŐDE!BG45+FALUHÁZ!BG45+ÓVODA!BG45+PMH!BG45+ÖNKORMÁNYZAT!BG45</f>
        <v>440733.81818181818</v>
      </c>
      <c r="BH45" s="60">
        <f>BÖLCSŐDE!BH45+FALUHÁZ!BH45+ÓVODA!BH45+PMH!BH45+ÖNKORMÁNYZAT!BH45</f>
        <v>1310000</v>
      </c>
      <c r="BI45" s="60">
        <f>BÖLCSŐDE!BI45+FALUHÁZ!BI45+ÓVODA!BI45+PMH!BI45+ÖNKORMÁNYZAT!BI45</f>
        <v>1310000</v>
      </c>
      <c r="BJ45" s="60">
        <f>BÖLCSŐDE!BJ45+FALUHÁZ!BJ45+ÓVODA!BJ45+PMH!BJ45+ÖNKORMÁNYZAT!BJ45</f>
        <v>468431</v>
      </c>
      <c r="BK45" s="60">
        <f>BÖLCSŐDE!BK45+FALUHÁZ!BK45+ÓVODA!BK45+PMH!BK45+ÖNKORMÁNYZAT!BK45</f>
        <v>715596</v>
      </c>
      <c r="BL45" s="60">
        <f>BÖLCSŐDE!BL45+FALUHÁZ!BL45+ÓVODA!BL45+PMH!BL45+ÖNKORMÁNYZAT!BL45</f>
        <v>1310000</v>
      </c>
      <c r="BM45" s="60">
        <f>BÖLCSŐDE!BM45+FALUHÁZ!BM45+ÓVODA!BM45+PMH!BM45+ÖNKORMÁNYZAT!BM45</f>
        <v>1346400</v>
      </c>
      <c r="BN45" s="60">
        <f>BÖLCSŐDE!BN45+FALUHÁZ!BN45+ÓVODA!BN45+PMH!BN45+ÖNKORMÁNYZAT!BN45</f>
        <v>1346400</v>
      </c>
      <c r="BO45" s="60">
        <f>BÖLCSŐDE!BO45+FALUHÁZ!BO45+ÓVODA!BO45+PMH!BO45+ÖNKORMÁNYZAT!BO45</f>
        <v>1315424</v>
      </c>
      <c r="BP45" s="60">
        <f>BÖLCSŐDE!BP45+FALUHÁZ!BP45+ÓVODA!BP45+PMH!BP45+ÖNKORMÁNYZAT!BP45</f>
        <v>1578508.8</v>
      </c>
      <c r="BQ45" s="60">
        <f>BÖLCSŐDE!BQ45+FALUHÁZ!BQ45+ÓVODA!BQ45+PMH!BQ45+ÖNKORMÁNYZAT!BQ45</f>
        <v>1736359.68</v>
      </c>
      <c r="BR45" s="60">
        <f>BÖLCSŐDE!BR45+FALUHÁZ!BR45+ÓVODA!BR45+PMH!BR45+ÖNKORMÁNYZAT!BR45</f>
        <v>1350000</v>
      </c>
      <c r="BS45" s="60">
        <f>BÖLCSŐDE!BS45+FALUHÁZ!BS45+ÓVODA!BS45+PMH!BS45+ÖNKORMÁNYZAT!BS45</f>
        <v>1350000</v>
      </c>
      <c r="BT45" s="60">
        <f>BÖLCSŐDE!BT45+FALUHÁZ!BT45+ÓVODA!BT45+PMH!BT45+ÖNKORMÁNYZAT!BT45</f>
        <v>1350000</v>
      </c>
      <c r="BU45" s="60">
        <f>BÖLCSŐDE!BU45+FALUHÁZ!BU45+ÓVODA!BU45+PMH!BU45+ÖNKORMÁNYZAT!BU45</f>
        <v>1930000</v>
      </c>
      <c r="BV45" s="60">
        <f>BÖLCSŐDE!BV45+FALUHÁZ!BV45+ÓVODA!BV45+PMH!BV45+ÖNKORMÁNYZAT!BV45</f>
        <v>1570000</v>
      </c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</row>
    <row r="46" spans="1:92" s="39" customFormat="1" x14ac:dyDescent="0.25">
      <c r="A46" s="54" t="s">
        <v>36</v>
      </c>
      <c r="B46" s="60" t="s">
        <v>145</v>
      </c>
      <c r="C46" s="60">
        <f>BÖLCSŐDE!C46+FALUHÁZ!C46+ÓVODA!C46+PMH!C46+ÖNKORMÁNYZAT!C46</f>
        <v>0</v>
      </c>
      <c r="D46" s="60">
        <f>BÖLCSŐDE!D46+FALUHÁZ!D46+ÓVODA!D46+PMH!D46+ÖNKORMÁNYZAT!D46</f>
        <v>154000</v>
      </c>
      <c r="E46" s="60">
        <f>BÖLCSŐDE!E46+FALUHÁZ!E46+ÓVODA!E46+PMH!E46+ÖNKORMÁNYZAT!E46</f>
        <v>0</v>
      </c>
      <c r="F46" s="60">
        <f>BÖLCSŐDE!F46+FALUHÁZ!F46+ÓVODA!F46+PMH!F46+ÖNKORMÁNYZAT!F46</f>
        <v>991833</v>
      </c>
      <c r="G46" s="60">
        <f>BÖLCSŐDE!G46+FALUHÁZ!G46+ÓVODA!G46+PMH!G46+ÖNKORMÁNYZAT!G46</f>
        <v>1530000</v>
      </c>
      <c r="H46" s="60">
        <f>BÖLCSŐDE!H46+FALUHÁZ!H46+ÓVODA!H46+PMH!H46+ÖNKORMÁNYZAT!H46</f>
        <v>1007060</v>
      </c>
      <c r="I46" s="60">
        <f t="shared" si="0"/>
        <v>1098610.9090909092</v>
      </c>
      <c r="J46" s="60">
        <v>348000</v>
      </c>
      <c r="K46" s="60">
        <v>1145445</v>
      </c>
      <c r="L46" s="60">
        <f>BÖLCSŐDE!L46+FALUHÁZ!L46+ÓVODA!L46+PMH!L46+ÖNKORMÁNYZAT!L46</f>
        <v>1145445</v>
      </c>
      <c r="M46" s="38">
        <f t="shared" si="1"/>
        <v>104.26302802216352</v>
      </c>
      <c r="O46" s="60">
        <f>BÖLCSŐDE!O46+FALUHÁZ!N46+ÓVODA!O46+PMH!O46+ÖNKORMÁNYZAT!O46</f>
        <v>1295445</v>
      </c>
      <c r="P46" s="60">
        <f>BÖLCSŐDE!P46+FALUHÁZ!O46+ÓVODA!P46+PMH!P46+ÖNKORMÁNYZAT!P46</f>
        <v>491273</v>
      </c>
      <c r="Q46" s="60">
        <f>BÖLCSŐDE!Q46+FALUHÁZ!P46+ÓVODA!Q46+PMH!Q46+ÖNKORMÁNYZAT!Q46</f>
        <v>502296</v>
      </c>
      <c r="R46" s="60">
        <f>BÖLCSŐDE!R46+FALUHÁZ!Q46+ÓVODA!R46+PMH!R46+ÖNKORMÁNYZAT!R46</f>
        <v>312000</v>
      </c>
      <c r="S46" s="60">
        <f>BÖLCSŐDE!S46+FALUHÁZ!R46+ÓVODA!S46+PMH!S46+ÖNKORMÁNYZAT!S46</f>
        <v>895156</v>
      </c>
      <c r="T46" s="60">
        <f>BÖLCSŐDE!T46+FALUHÁZ!S46+ÓVODA!T46+PMH!T46+ÖNKORMÁNYZAT!T46</f>
        <v>895156</v>
      </c>
      <c r="U46" s="60">
        <f>BÖLCSŐDE!U46+FALUHÁZ!T46+ÓVODA!U46+PMH!U46+ÖNKORMÁNYZAT!U46</f>
        <v>778000</v>
      </c>
      <c r="V46" s="60">
        <f>BÖLCSŐDE!V46+FALUHÁZ!U46+ÓVODA!V46+PMH!V46+ÖNKORMÁNYZAT!V46</f>
        <v>778000</v>
      </c>
      <c r="W46" s="60">
        <f>BÖLCSŐDE!W46+FALUHÁZ!V46+ÓVODA!W46+PMH!W46+ÖNKORMÁNYZAT!W46</f>
        <v>778000</v>
      </c>
      <c r="X46" s="123">
        <f t="shared" si="2"/>
        <v>115.0586118251928</v>
      </c>
      <c r="AA46" s="60">
        <f>BÖLCSŐDE!AA46+FALUHÁZ!Z46+ÓVODA!AA46+PMH!AA46+ÖNKORMÁNYZAT!AA46</f>
        <v>778000</v>
      </c>
      <c r="AB46" s="60">
        <f>BÖLCSŐDE!AB46+FALUHÁZ!AA46+ÓVODA!AB46+PMH!AB46+ÖNKORMÁNYZAT!AB46</f>
        <v>93624</v>
      </c>
      <c r="AC46" s="60">
        <f>BÖLCSŐDE!AB46+FALUHÁZ!AA46+ÓVODA!AB46+PMH!AB46+ÖNKORMÁNYZAT!AB46</f>
        <v>93624</v>
      </c>
      <c r="AD46" s="60">
        <f>BÖLCSŐDE!AC46+FALUHÁZ!AB46+ÓVODA!AC46+PMH!AC46+ÖNKORMÁNYZAT!AC46</f>
        <v>472629</v>
      </c>
      <c r="AE46" s="217">
        <f>BÖLCSŐDE!AE46+FALUHÁZ!AD46+ÓVODA!AE46+PMH!AE46+ÖNKORMÁNYZAT!AD46</f>
        <v>56220.642779487178</v>
      </c>
      <c r="AF46" s="123">
        <f t="shared" si="3"/>
        <v>60.749228791773781</v>
      </c>
      <c r="AG46" s="60">
        <f>BÖLCSŐDE!AG46+FALUHÁZ!AG46+ÓVODA!AG45+PMH!AG46+ÖNKORMÁNYZAT!AG46</f>
        <v>425421</v>
      </c>
      <c r="AH46" s="55"/>
      <c r="AI46" s="60">
        <f>BÖLCSŐDE!AI46+FALUHÁZ!AJ46+ÓVODA!AI45+PMH!AI46+ÖNKORMÁNYZAT!AI46</f>
        <v>821931.304</v>
      </c>
      <c r="AJ46" s="60"/>
      <c r="AK46" s="60">
        <f>BÖLCSŐDE!AL46+FALUHÁZ!AK46+ÓVODA!AK45+PMH!AK46+ÖNKORMÁNYZAT!AK46</f>
        <v>821931.304</v>
      </c>
      <c r="AL46"/>
      <c r="AM46" s="60">
        <f>BÖLCSŐDE!AM46+FALUHÁZ!AM46+ÓVODA!AM45+PMH!AM46+ÖNKORMÁNYZAT!AM46</f>
        <v>954898</v>
      </c>
      <c r="AN46" s="55">
        <f>BÖLCSŐDE!AN46+FALUHÁZ!AN46+ÓVODA!AP45+PMH!AN46+ÖNKORMÁNYZAT!AP46</f>
        <v>821931</v>
      </c>
      <c r="AO46" s="55">
        <f>BÖLCSŐDE!AO46+FALUHÁZ!AO46+ÓVODA!AQ45+PMH!AO46+ÖNKORMÁNYZAT!AQ46</f>
        <v>267755</v>
      </c>
      <c r="AP46" s="55">
        <f>BÖLCSŐDE!AP46+FALUHÁZ!AP46+ÓVODA!AP45+PMH!AP46+ÖNKORMÁNYZAT!AP46</f>
        <v>821931</v>
      </c>
      <c r="AQ46" s="55">
        <f>BÖLCSŐDE!AQ46+FALUHÁZ!AQ46+ÓVODA!AQ45+PMH!AQ46+ÖNKORMÁNYZAT!AQ46</f>
        <v>416934</v>
      </c>
      <c r="AR46" s="55">
        <f t="shared" si="4"/>
        <v>404997</v>
      </c>
      <c r="AS46" s="54">
        <f t="shared" si="5"/>
        <v>50.726155845198683</v>
      </c>
      <c r="AT46" s="60">
        <f>BÖLCSŐDE!AT46+FALUHÁZ!AT46+ÓVODA!AT45+PMH!AT46+ÖNKORMÁNYZAT!AT46</f>
        <v>432414</v>
      </c>
      <c r="AU46" s="60">
        <f t="shared" si="6"/>
        <v>389517</v>
      </c>
      <c r="AV46" s="59">
        <f t="shared" si="7"/>
        <v>47.390474382886154</v>
      </c>
      <c r="AW46" s="60">
        <f>BÖLCSŐDE!AW46+FALUHÁZ!AW46+ÓVODA!AW45+PMH!AW46+ÖNKORMÁNYZAT!AW46</f>
        <v>821931</v>
      </c>
      <c r="AX46" s="60">
        <f>BÖLCSŐDE!AX46+FALUHÁZ!AX46+ÓVODA!AX45+PMH!AX46+ÖNKORMÁNYZAT!AX46</f>
        <v>887685.48</v>
      </c>
      <c r="AY46" s="60">
        <f>BÖLCSŐDE!AY46+FALUHÁZ!AY46+ÓVODA!AY45+PMH!AY46+ÖNKORMÁNYZAT!AY46</f>
        <v>887685.48</v>
      </c>
      <c r="AZ46" s="60">
        <f>BÖLCSŐDE!AZ46+FALUHÁZ!AZ46+ÓVODA!AZ45+PMH!AZ46+ÖNKORMÁNYZAT!AZ46</f>
        <v>544383.96</v>
      </c>
      <c r="BA46" s="60">
        <f>BÖLCSŐDE!BA46+FALUHÁZ!BA46+ÓVODA!BA45+PMH!BA46+ÖNKORMÁNYZAT!BA46</f>
        <v>881925.48</v>
      </c>
      <c r="BB46" s="60">
        <f>BÖLCSŐDE!BB46+FALUHÁZ!BB46+ÓVODA!BB45+PMH!BB46+ÖNKORMÁNYZAT!BB46</f>
        <v>521286</v>
      </c>
      <c r="BC46" s="60">
        <f>BÖLCSŐDE!BC46+FALUHÁZ!BC46+ÓVODA!BC45+PMH!BC46+ÖNKORMÁNYZAT!BC46</f>
        <v>888269</v>
      </c>
      <c r="BD46" s="60">
        <f>BÖLCSŐDE!BD46+FALUHÁZ!BD46+ÓVODA!BD45+PMH!BD46+ÖNKORMÁNYZAT!BD46</f>
        <v>533030</v>
      </c>
      <c r="BE46" s="60">
        <f>BÖLCSŐDE!BE46+FALUHÁZ!BE46+ÓVODA!BE45+PMH!BE46+ÖNKORMÁNYZAT!BE46</f>
        <v>578940</v>
      </c>
      <c r="BF46" s="60">
        <f>BÖLCSŐDE!BF46+FALUHÁZ!BF46+ÓVODA!BF46+PMH!BF46+ÖNKORMÁNYZAT!BF46</f>
        <v>798639</v>
      </c>
      <c r="BG46" s="60">
        <f>BÖLCSŐDE!BG46+FALUHÁZ!BG46+ÓVODA!BG46+PMH!BG46+ÖNKORMÁNYZAT!BG46</f>
        <v>871242.54545454541</v>
      </c>
      <c r="BH46" s="60">
        <f>BÖLCSŐDE!BH46+FALUHÁZ!BH46+ÓVODA!BH46+PMH!BH46+ÖNKORMÁNYZAT!BH46</f>
        <v>870000</v>
      </c>
      <c r="BI46" s="60">
        <f>BÖLCSŐDE!BI46+FALUHÁZ!BI46+ÓVODA!BI46+PMH!BI46+ÖNKORMÁNYZAT!BI46</f>
        <v>870000</v>
      </c>
      <c r="BJ46" s="60">
        <f>BÖLCSŐDE!BJ46+FALUHÁZ!BJ46+ÓVODA!BJ46+PMH!BJ46+ÖNKORMÁNYZAT!BJ46</f>
        <v>101549</v>
      </c>
      <c r="BK46" s="60">
        <f>BÖLCSŐDE!BK46+FALUHÁZ!BK46+ÓVODA!BK46+PMH!BK46+ÖNKORMÁNYZAT!BK46</f>
        <v>479549</v>
      </c>
      <c r="BL46" s="60">
        <f>BÖLCSŐDE!BL46+FALUHÁZ!BL46+ÓVODA!BL46+PMH!BL46+ÖNKORMÁNYZAT!BL46</f>
        <v>870000</v>
      </c>
      <c r="BM46" s="60">
        <f>BÖLCSŐDE!BM46+FALUHÁZ!BM46+ÓVODA!BM46+PMH!BM46+ÖNKORMÁNYZAT!BM46</f>
        <v>453120</v>
      </c>
      <c r="BN46" s="60">
        <f>BÖLCSŐDE!BN46+FALUHÁZ!BN46+ÓVODA!BN46+PMH!BN46+ÖNKORMÁNYZAT!BN46</f>
        <v>453120</v>
      </c>
      <c r="BO46" s="60">
        <f>BÖLCSŐDE!BO46+FALUHÁZ!BO46+ÓVODA!BO46+PMH!BO46+ÖNKORMÁNYZAT!BO46</f>
        <v>0</v>
      </c>
      <c r="BP46" s="60">
        <f>BÖLCSŐDE!BP46+FALUHÁZ!BP46+ÓVODA!BP46+PMH!BP46+ÖNKORMÁNYZAT!BP46</f>
        <v>0</v>
      </c>
      <c r="BQ46" s="60">
        <f>BÖLCSŐDE!BQ46+FALUHÁZ!BQ46+ÓVODA!BQ46+PMH!BQ46+ÖNKORMÁNYZAT!BQ46</f>
        <v>0</v>
      </c>
      <c r="BR46" s="60">
        <f>BÖLCSŐDE!BR46+FALUHÁZ!BR46+ÓVODA!BR46+PMH!BR46+ÖNKORMÁNYZAT!BR46</f>
        <v>0</v>
      </c>
      <c r="BS46" s="60">
        <f>BÖLCSŐDE!BS46+FALUHÁZ!BS46+ÓVODA!BS46+PMH!BS46+ÖNKORMÁNYZAT!BS46</f>
        <v>0</v>
      </c>
      <c r="BT46" s="60">
        <f>BÖLCSŐDE!BT46+FALUHÁZ!BT46+ÓVODA!BT46+PMH!BT46+ÖNKORMÁNYZAT!BT46</f>
        <v>0</v>
      </c>
      <c r="BU46" s="60">
        <f>BÖLCSŐDE!BU46+FALUHÁZ!BU46+ÓVODA!BU46+PMH!BU46+ÖNKORMÁNYZAT!BU46</f>
        <v>0</v>
      </c>
      <c r="BV46" s="60">
        <f>BÖLCSŐDE!BV46+FALUHÁZ!BV46+ÓVODA!BV46+PMH!BV46+ÖNKORMÁNYZAT!BV46</f>
        <v>200000</v>
      </c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</row>
    <row r="47" spans="1:92" s="39" customFormat="1" x14ac:dyDescent="0.25">
      <c r="A47" s="54" t="s">
        <v>488</v>
      </c>
      <c r="B47" s="60" t="s">
        <v>489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38"/>
      <c r="O47" s="60"/>
      <c r="P47" s="60"/>
      <c r="Q47" s="60"/>
      <c r="R47" s="60"/>
      <c r="S47" s="60"/>
      <c r="T47" s="60"/>
      <c r="U47" s="60"/>
      <c r="V47" s="60"/>
      <c r="W47" s="60"/>
      <c r="X47" s="123"/>
      <c r="AA47" s="60"/>
      <c r="AB47" s="60">
        <f>BÖLCSŐDE!AB47+FALUHÁZ!AA47+ÓVODA!AB48+PMH!AB47+ÖNKORMÁNYZAT!AB47</f>
        <v>1124684</v>
      </c>
      <c r="AC47" s="60">
        <f>BÖLCSŐDE!AB47+FALUHÁZ!AA47+ÓVODA!AB48+PMH!AB47+ÖNKORMÁNYZAT!AB47</f>
        <v>1124684</v>
      </c>
      <c r="AD47" s="60">
        <f>BÖLCSŐDE!AC47+FALUHÁZ!AB47+ÓVODA!AC48+PMH!AC47+ÖNKORMÁNYZAT!AC47</f>
        <v>1334884</v>
      </c>
      <c r="AE47" s="217">
        <f>BÖLCSŐDE!AE47+FALUHÁZ!AD47+ÓVODA!AE48+PMH!AE47+ÖNKORMÁNYZAT!AD47</f>
        <v>0</v>
      </c>
      <c r="AF47" s="123" t="e">
        <f t="shared" ref="AF47" si="8">AD47/AA47*100</f>
        <v>#DIV/0!</v>
      </c>
      <c r="AG47" s="60">
        <f>BÖLCSŐDE!AG47+FALUHÁZ!AG47+ÓVODA!AG46+PMH!AG47+ÖNKORMÁNYZAT!AG47</f>
        <v>144000</v>
      </c>
      <c r="AH47" s="55"/>
      <c r="AI47" s="60">
        <f>BÖLCSŐDE!AI47+FALUHÁZ!AJ47+ÓVODA!AI46+PMH!AI47+ÖNKORMÁNYZAT!AI47</f>
        <v>350000</v>
      </c>
      <c r="AJ47" s="60"/>
      <c r="AK47" s="60">
        <f>BÖLCSŐDE!AL47+FALUHÁZ!AK47+ÓVODA!AK46+PMH!AK47+ÖNKORMÁNYZAT!AK47</f>
        <v>350000</v>
      </c>
      <c r="AL47"/>
      <c r="AM47" s="60">
        <f>BÖLCSŐDE!AM47+FALUHÁZ!AM47+ÓVODA!AM46+PMH!AM47+ÖNKORMÁNYZAT!AM47</f>
        <v>300000</v>
      </c>
      <c r="AN47" s="55">
        <f>BÖLCSŐDE!AN47+FALUHÁZ!AN47+ÓVODA!AP46+PMH!AN47+ÖNKORMÁNYZAT!AP47</f>
        <v>350000</v>
      </c>
      <c r="AO47" s="55">
        <f>BÖLCSŐDE!AO47+FALUHÁZ!AO47+ÓVODA!AQ46+PMH!AO47+ÖNKORMÁNYZAT!AQ47</f>
        <v>156000</v>
      </c>
      <c r="AP47" s="55">
        <f>BÖLCSŐDE!AP47+FALUHÁZ!AP47+ÓVODA!AP46+PMH!AP47+ÖNKORMÁNYZAT!AP47</f>
        <v>350000</v>
      </c>
      <c r="AQ47" s="55">
        <f>BÖLCSŐDE!AQ47+FALUHÁZ!AQ47+ÓVODA!AQ46+PMH!AQ47+ÖNKORMÁNYZAT!AQ47</f>
        <v>156000</v>
      </c>
      <c r="AR47" s="55">
        <f t="shared" si="4"/>
        <v>194000</v>
      </c>
      <c r="AS47" s="54">
        <f t="shared" si="5"/>
        <v>44.571428571428569</v>
      </c>
      <c r="AT47" s="60">
        <f>BÖLCSŐDE!AT47+FALUHÁZ!AT47+ÓVODA!AT46+PMH!AT47+ÖNKORMÁNYZAT!AT47</f>
        <v>156000</v>
      </c>
      <c r="AU47" s="60">
        <f t="shared" si="6"/>
        <v>194000</v>
      </c>
      <c r="AV47" s="59">
        <f t="shared" si="7"/>
        <v>55.428571428571431</v>
      </c>
      <c r="AW47" s="60">
        <f>BÖLCSŐDE!AW47+FALUHÁZ!AW47+ÓVODA!AW46+PMH!AW47+ÖNKORMÁNYZAT!AW47</f>
        <v>350000</v>
      </c>
      <c r="AX47" s="60">
        <f>BÖLCSŐDE!AX47+FALUHÁZ!AX47+ÓVODA!AX46+PMH!AX47+ÖNKORMÁNYZAT!AX47</f>
        <v>378000</v>
      </c>
      <c r="AY47" s="60">
        <f>BÖLCSŐDE!AY47+FALUHÁZ!AY47+ÓVODA!AY46+PMH!AY47+ÖNKORMÁNYZAT!AY47</f>
        <v>378000</v>
      </c>
      <c r="AZ47" s="60">
        <f>BÖLCSŐDE!AZ47+FALUHÁZ!AZ47+ÓVODA!AZ46+PMH!AZ47+ÖNKORMÁNYZAT!AZ47</f>
        <v>378000</v>
      </c>
      <c r="BA47" s="60">
        <f>BÖLCSŐDE!BA47+FALUHÁZ!BA47+ÓVODA!BA46+PMH!BA47+ÖNKORMÁNYZAT!BA47</f>
        <v>378000</v>
      </c>
      <c r="BB47" s="60">
        <f>BÖLCSŐDE!BB47+FALUHÁZ!BB47+ÓVODA!BB46+PMH!BB47+ÖNKORMÁNYZAT!BB47</f>
        <v>0</v>
      </c>
      <c r="BC47" s="60">
        <f>BÖLCSŐDE!BC47+FALUHÁZ!BC47+ÓVODA!BC46+PMH!BC47+ÖNKORMÁNYZAT!BC47</f>
        <v>428000</v>
      </c>
      <c r="BD47" s="60">
        <f>BÖLCSŐDE!BD47+FALUHÁZ!BD47+ÓVODA!BD46+PMH!BD47+ÖNKORMÁNYZAT!BD47</f>
        <v>324000</v>
      </c>
      <c r="BE47" s="60">
        <f>BÖLCSŐDE!BE47+FALUHÁZ!BE47+ÓVODA!BE46+PMH!BE47+ÖNKORMÁNYZAT!BE47</f>
        <v>324000</v>
      </c>
      <c r="BF47" s="60">
        <f>BÖLCSŐDE!BF47+FALUHÁZ!BF47+ÓVODA!BF47+PMH!BF47+ÖNKORMÁNYZAT!BF47</f>
        <v>0</v>
      </c>
      <c r="BG47" s="60">
        <f>BÖLCSŐDE!BG47+FALUHÁZ!BG47+ÓVODA!BG47+PMH!BG47+ÖNKORMÁNYZAT!BG47</f>
        <v>0</v>
      </c>
      <c r="BH47" s="60">
        <f>BÖLCSŐDE!BH47+FALUHÁZ!BH47+ÓVODA!BH47+PMH!BH47+ÖNKORMÁNYZAT!BH47</f>
        <v>0</v>
      </c>
      <c r="BI47" s="60">
        <f>BÖLCSŐDE!BI47+FALUHÁZ!BI47+ÓVODA!BI47+PMH!BI47+ÖNKORMÁNYZAT!BI47</f>
        <v>0</v>
      </c>
      <c r="BJ47" s="60">
        <f>BÖLCSŐDE!BJ47+FALUHÁZ!BJ47+ÓVODA!BJ47+PMH!BJ47+ÖNKORMÁNYZAT!BJ47</f>
        <v>0</v>
      </c>
      <c r="BK47" s="60">
        <f>BÖLCSŐDE!BK47+FALUHÁZ!BK47+ÓVODA!BK47+PMH!BK47+ÖNKORMÁNYZAT!BK47</f>
        <v>0</v>
      </c>
      <c r="BL47" s="60">
        <f>BÖLCSŐDE!BL47+FALUHÁZ!BL47+ÓVODA!BL47+PMH!BL47+ÖNKORMÁNYZAT!BL47</f>
        <v>0</v>
      </c>
      <c r="BM47" s="60">
        <f>BÖLCSŐDE!BM47+FALUHÁZ!BM47+ÓVODA!BM47+PMH!BM47+ÖNKORMÁNYZAT!BM47</f>
        <v>0</v>
      </c>
      <c r="BN47" s="60">
        <f>BÖLCSŐDE!BN47+FALUHÁZ!BN47+ÓVODA!BN47+PMH!BN47+ÖNKORMÁNYZAT!BN47</f>
        <v>0</v>
      </c>
      <c r="BO47" s="60">
        <f>BÖLCSŐDE!BO47+FALUHÁZ!BO47+ÓVODA!BO47+PMH!BO47+ÖNKORMÁNYZAT!BO47</f>
        <v>0</v>
      </c>
      <c r="BP47" s="60">
        <f>BÖLCSŐDE!BP47+FALUHÁZ!BP47+ÓVODA!BP47+PMH!BP47+ÖNKORMÁNYZAT!BP47</f>
        <v>0</v>
      </c>
      <c r="BQ47" s="60">
        <f>BÖLCSŐDE!BQ47+FALUHÁZ!BQ47+ÓVODA!BQ47+PMH!BQ47+ÖNKORMÁNYZAT!BQ47</f>
        <v>0</v>
      </c>
      <c r="BR47" s="60">
        <f>BÖLCSŐDE!BR47+FALUHÁZ!BR47+ÓVODA!BR47+PMH!BR47+ÖNKORMÁNYZAT!BR47</f>
        <v>0</v>
      </c>
      <c r="BS47" s="60">
        <f>BÖLCSŐDE!BS47+FALUHÁZ!BS47+ÓVODA!BS47+PMH!BS47+ÖNKORMÁNYZAT!BS47</f>
        <v>0</v>
      </c>
      <c r="BT47" s="60">
        <f>BÖLCSŐDE!BT47+FALUHÁZ!BT47+ÓVODA!BT47+PMH!BT47+ÖNKORMÁNYZAT!BT47</f>
        <v>0</v>
      </c>
      <c r="BU47" s="60">
        <f>BÖLCSŐDE!BU47+FALUHÁZ!BU47+ÓVODA!BU47+PMH!BU47+ÖNKORMÁNYZAT!BU47</f>
        <v>0</v>
      </c>
      <c r="BV47" s="60">
        <f>BÖLCSŐDE!BV47+FALUHÁZ!BV47+ÓVODA!BV47+PMH!BV47+ÖNKORMÁNYZAT!BV47</f>
        <v>0</v>
      </c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</row>
    <row r="48" spans="1:92" s="39" customFormat="1" x14ac:dyDescent="0.25">
      <c r="A48" s="54" t="s">
        <v>228</v>
      </c>
      <c r="B48" s="60" t="s">
        <v>229</v>
      </c>
      <c r="C48" s="60"/>
      <c r="D48" s="60"/>
      <c r="E48" s="60"/>
      <c r="F48" s="60"/>
      <c r="G48" s="60">
        <f>BÖLCSŐDE!G48+FALUHÁZ!G48+ÓVODA!G48+PMH!G48+ÖNKORMÁNYZAT!G48</f>
        <v>4660927</v>
      </c>
      <c r="H48" s="60">
        <f>BÖLCSŐDE!H48+FALUHÁZ!H48+ÓVODA!H48+PMH!H48+ÖNKORMÁNYZAT!H48</f>
        <v>3773068</v>
      </c>
      <c r="I48" s="60">
        <f t="shared" si="0"/>
        <v>4116074.1818181816</v>
      </c>
      <c r="J48" s="60">
        <v>0</v>
      </c>
      <c r="K48" s="60">
        <v>3286164</v>
      </c>
      <c r="L48" s="60">
        <f>BÖLCSŐDE!L48+FALUHÁZ!L48+ÓVODA!L48+PMH!L48+ÖNKORMÁNYZAT!L48</f>
        <v>3286164</v>
      </c>
      <c r="M48" s="38">
        <f t="shared" si="1"/>
        <v>79.837336618369989</v>
      </c>
      <c r="O48" s="60">
        <f>BÖLCSŐDE!O48+FALUHÁZ!N48+ÓVODA!O48+PMH!O48+ÖNKORMÁNYZAT!O48</f>
        <v>4786164</v>
      </c>
      <c r="P48" s="60">
        <f>BÖLCSŐDE!P48+FALUHÁZ!O48+ÓVODA!P48+PMH!P48+ÖNKORMÁNYZAT!P48</f>
        <v>4243864</v>
      </c>
      <c r="Q48" s="60">
        <f>BÖLCSŐDE!Q48+FALUHÁZ!P48+ÓVODA!Q48+PMH!Q48+ÖNKORMÁNYZAT!Q48</f>
        <v>4524674</v>
      </c>
      <c r="R48" s="60">
        <f>BÖLCSŐDE!R48+FALUHÁZ!Q48+ÓVODA!R48+PMH!R48+ÖNKORMÁNYZAT!R48</f>
        <v>2121217</v>
      </c>
      <c r="S48" s="60">
        <f>BÖLCSŐDE!S48+FALUHÁZ!R48+ÓVODA!S48+PMH!S48+ÖNKORMÁNYZAT!S48</f>
        <v>5179419</v>
      </c>
      <c r="T48" s="60">
        <f>BÖLCSŐDE!T48+FALUHÁZ!S48+ÓVODA!T48+PMH!T48+ÖNKORMÁNYZAT!T48</f>
        <v>5118850</v>
      </c>
      <c r="U48" s="60">
        <f>BÖLCSŐDE!U48+FALUHÁZ!T48+ÓVODA!U48+PMH!U48+ÖNKORMÁNYZAT!U48</f>
        <v>4200000</v>
      </c>
      <c r="V48" s="60">
        <f>BÖLCSŐDE!V48+FALUHÁZ!U48+ÓVODA!V48+PMH!V48+ÖNKORMÁNYZAT!V48</f>
        <v>4200000</v>
      </c>
      <c r="W48" s="60">
        <f>BÖLCSŐDE!W48+FALUHÁZ!V48+ÓVODA!W48+PMH!W48+ÖNKORMÁNYZAT!W48</f>
        <v>4200000</v>
      </c>
      <c r="X48" s="123">
        <f t="shared" si="2"/>
        <v>121.87738095238095</v>
      </c>
      <c r="AA48" s="60">
        <f>BÖLCSŐDE!AA48+FALUHÁZ!Z48+ÓVODA!AA48+PMH!AA48+ÖNKORMÁNYZAT!AA48</f>
        <v>4200000</v>
      </c>
      <c r="AB48" s="60">
        <f>BÖLCSŐDE!AB48+FALUHÁZ!AA48+ÓVODA!AB48+PMH!AB48+ÖNKORMÁNYZAT!AB48</f>
        <v>2676179</v>
      </c>
      <c r="AC48" s="60">
        <f>BÖLCSŐDE!AB48+FALUHÁZ!AA48+ÓVODA!AB48+PMH!AB48+ÖNKORMÁNYZAT!AB48</f>
        <v>2676179</v>
      </c>
      <c r="AD48" s="60">
        <f>BÖLCSŐDE!AC48+FALUHÁZ!AB48+ÓVODA!AC48+PMH!AC48+ÖNKORMÁNYZAT!AC48</f>
        <v>4003835</v>
      </c>
      <c r="AE48" s="217">
        <f>BÖLCSŐDE!AE48+FALUHÁZ!AD48+ÓVODA!AE48+PMH!AE48+ÖNKORMÁNYZAT!AD48</f>
        <v>920232.15567857143</v>
      </c>
      <c r="AF48" s="123">
        <f t="shared" si="3"/>
        <v>95.329404761904755</v>
      </c>
      <c r="AG48" s="60">
        <f>BÖLCSŐDE!AG47+FALUHÁZ!AG47+ÓVODA!AG46+PMH!AG47+ÖNKORMÁNYZAT!AG47</f>
        <v>144000</v>
      </c>
      <c r="AH48" s="55"/>
      <c r="AI48" s="60">
        <f>BÖLCSŐDE!AI48+FALUHÁZ!AJ48+ÓVODA!AI48+PMH!AI48+ÖNKORMÁNYZAT!AI48</f>
        <v>4164453.6240000003</v>
      </c>
      <c r="AJ48" s="60"/>
      <c r="AK48" s="60">
        <f>BÖLCSŐDE!AL48+FALUHÁZ!AK48+ÓVODA!AK48+PMH!AK48+ÖNKORMÁNYZAT!AK48</f>
        <v>4164453.6240000003</v>
      </c>
      <c r="AL48"/>
      <c r="AM48" s="60">
        <f>BÖLCSŐDE!AM48+FALUHÁZ!AM48+ÓVODA!AM48+PMH!AM48+ÖNKORMÁNYZAT!AM48</f>
        <v>6340979</v>
      </c>
      <c r="AN48" s="55">
        <f>BÖLCSŐDE!AN48+FALUHÁZ!AN48+ÓVODA!AP48+PMH!AN48+ÖNKORMÁNYZAT!AP48</f>
        <v>5170454</v>
      </c>
      <c r="AO48" s="55">
        <f>BÖLCSŐDE!AO48+FALUHÁZ!AO48+ÓVODA!AQ48+PMH!AO48+ÖNKORMÁNYZAT!AQ48</f>
        <v>3296240</v>
      </c>
      <c r="AP48" s="55">
        <f>BÖLCSŐDE!AP48+FALUHÁZ!AP48+ÓVODA!AP48+PMH!AP48+ÖNKORMÁNYZAT!AP48</f>
        <v>5570454</v>
      </c>
      <c r="AQ48" s="55">
        <f>BÖLCSŐDE!AQ48+FALUHÁZ!AQ48+ÓVODA!AQ48+PMH!AQ48+ÖNKORMÁNYZAT!AQ48</f>
        <v>4372451</v>
      </c>
      <c r="AR48" s="55">
        <f t="shared" si="4"/>
        <v>1198003</v>
      </c>
      <c r="AS48" s="54">
        <f t="shared" si="5"/>
        <v>78.493620089134566</v>
      </c>
      <c r="AT48" s="60">
        <f>BÖLCSŐDE!AT48+FALUHÁZ!AT48+ÓVODA!AT48+PMH!AT48+ÖNKORMÁNYZAT!AT48</f>
        <v>4660007</v>
      </c>
      <c r="AU48" s="60">
        <f t="shared" si="6"/>
        <v>910447</v>
      </c>
      <c r="AV48" s="59">
        <f t="shared" si="7"/>
        <v>16.344215390702445</v>
      </c>
      <c r="AW48" s="60">
        <f>BÖLCSŐDE!AW48+FALUHÁZ!AW48+ÓVODA!AW48+PMH!AW48+ÖNKORMÁNYZAT!AW48</f>
        <v>4164454</v>
      </c>
      <c r="AX48" s="60">
        <f>BÖLCSŐDE!AX48+FALUHÁZ!AX48+ÓVODA!AX48+PMH!AX48+ÖNKORMÁNYZAT!AX48</f>
        <v>4497610.32</v>
      </c>
      <c r="AY48" s="60">
        <f>BÖLCSŐDE!AY48+FALUHÁZ!AY48+ÓVODA!AY48+PMH!AY48+ÖNKORMÁNYZAT!AY48</f>
        <v>4497610.32</v>
      </c>
      <c r="AZ48" s="60">
        <f>BÖLCSŐDE!AZ48+FALUHÁZ!AZ48+ÓVODA!AZ48+PMH!AZ48+ÖNKORMÁNYZAT!AZ48</f>
        <v>1751032.1600000001</v>
      </c>
      <c r="BA48" s="60">
        <f>BÖLCSŐDE!BA48+FALUHÁZ!BA48+ÓVODA!BA48+PMH!BA48+ÖNKORMÁNYZAT!BA48</f>
        <v>4481610.32</v>
      </c>
      <c r="BB48" s="60">
        <f>BÖLCSŐDE!BB48+FALUHÁZ!BB48+ÓVODA!BB48+PMH!BB48+ÖNKORMÁNYZAT!BB48</f>
        <v>1751032</v>
      </c>
      <c r="BC48" s="60">
        <f>BÖLCSŐDE!BC48+FALUHÁZ!BC48+ÓVODA!BC48+PMH!BC48+ÖNKORMÁNYZAT!BC48</f>
        <v>4129226</v>
      </c>
      <c r="BD48" s="60">
        <f>BÖLCSŐDE!BD48+FALUHÁZ!BD48+ÓVODA!BD48+PMH!BD48+ÖNKORMÁNYZAT!BD48</f>
        <v>3576265</v>
      </c>
      <c r="BE48" s="60">
        <f>BÖLCSŐDE!BE48+FALUHÁZ!BE48+ÓVODA!BE48+PMH!BE48+ÖNKORMÁNYZAT!BE48</f>
        <v>4152339</v>
      </c>
      <c r="BF48" s="60">
        <f>BÖLCSŐDE!BF48+FALUHÁZ!BF48+ÓVODA!BF48+PMH!BF48+ÖNKORMÁNYZAT!BF48</f>
        <v>4607006</v>
      </c>
      <c r="BG48" s="60">
        <f>BÖLCSŐDE!BG48+FALUHÁZ!BG48+ÓVODA!BG48+PMH!BG48+ÖNKORMÁNYZAT!BG48</f>
        <v>5025824.7272727275</v>
      </c>
      <c r="BH48" s="60">
        <f>BÖLCSŐDE!BH48+FALUHÁZ!BH48+ÓVODA!BH48+PMH!BH48+ÖNKORMÁNYZAT!BH48</f>
        <v>4820000</v>
      </c>
      <c r="BI48" s="60">
        <f>BÖLCSŐDE!BI48+FALUHÁZ!BI48+ÓVODA!BI48+PMH!BI48+ÖNKORMÁNYZAT!BI48</f>
        <v>6686460</v>
      </c>
      <c r="BJ48" s="60">
        <f>BÖLCSŐDE!BJ48+FALUHÁZ!BJ48+ÓVODA!BJ48+PMH!BJ48+ÖNKORMÁNYZAT!BJ48</f>
        <v>5003628</v>
      </c>
      <c r="BK48" s="60">
        <f>BÖLCSŐDE!BK48+FALUHÁZ!BK48+ÓVODA!BK48+PMH!BK48+ÖNKORMÁNYZAT!BK48</f>
        <v>6675496</v>
      </c>
      <c r="BL48" s="60">
        <f>BÖLCSŐDE!BL48+FALUHÁZ!BL48+ÓVODA!BL48+PMH!BL48+ÖNKORMÁNYZAT!BL48</f>
        <v>6859466</v>
      </c>
      <c r="BM48" s="60">
        <f>BÖLCSŐDE!BM48+FALUHÁZ!BM48+ÓVODA!BM48+PMH!BM48+ÖNKORMÁNYZAT!BM48</f>
        <v>4392000</v>
      </c>
      <c r="BN48" s="60">
        <f>BÖLCSŐDE!BN48+FALUHÁZ!BN48+ÓVODA!BN48+PMH!BN48+ÖNKORMÁNYZAT!BN48</f>
        <v>4392000</v>
      </c>
      <c r="BO48" s="60">
        <f>BÖLCSŐDE!BO48+FALUHÁZ!BO48+ÓVODA!BO48+PMH!BO48+ÖNKORMÁNYZAT!BO48</f>
        <v>9295652</v>
      </c>
      <c r="BP48" s="60">
        <f>BÖLCSŐDE!BP48+FALUHÁZ!BP48+ÓVODA!BP48+PMH!BP48+ÖNKORMÁNYZAT!BP48</f>
        <v>11154782.399999999</v>
      </c>
      <c r="BQ48" s="60">
        <f>BÖLCSŐDE!BQ48+FALUHÁZ!BQ48+ÓVODA!BQ48+PMH!BQ48+ÖNKORMÁNYZAT!BQ48</f>
        <v>12270260.639999997</v>
      </c>
      <c r="BR48" s="60">
        <f>BÖLCSŐDE!BR48+FALUHÁZ!BR48+ÓVODA!BR48+PMH!BR48+ÖNKORMÁNYZAT!BR48</f>
        <v>9525552</v>
      </c>
      <c r="BS48" s="60">
        <f>BÖLCSŐDE!BS48+FALUHÁZ!BS48+ÓVODA!BS48+PMH!BS48+ÖNKORMÁNYZAT!BS48</f>
        <v>9525553</v>
      </c>
      <c r="BT48" s="60">
        <f>BÖLCSŐDE!BT48+FALUHÁZ!BT48+ÓVODA!BT48+PMH!BT48+ÖNKORMÁNYZAT!BT48</f>
        <v>9525553</v>
      </c>
      <c r="BU48" s="60">
        <f>BÖLCSŐDE!BU48+FALUHÁZ!BU48+ÓVODA!BU48+PMH!BU48+ÖNKORMÁNYZAT!BU48</f>
        <v>9300000</v>
      </c>
      <c r="BV48" s="60">
        <f>BÖLCSŐDE!BV48+FALUHÁZ!BV48+ÓVODA!BV48+PMH!BV48+ÖNKORMÁNYZAT!BV48</f>
        <v>8300000</v>
      </c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</row>
    <row r="49" spans="1:92" s="39" customFormat="1" x14ac:dyDescent="0.25">
      <c r="A49" s="54" t="s">
        <v>255</v>
      </c>
      <c r="B49" s="60" t="s">
        <v>256</v>
      </c>
      <c r="C49" s="60"/>
      <c r="D49" s="60"/>
      <c r="E49" s="60"/>
      <c r="F49" s="60"/>
      <c r="G49" s="60">
        <f>BÖLCSŐDE!G49+FALUHÁZ!G49+ÓVODA!G49+PMH!G49+ÖNKORMÁNYZAT!G49</f>
        <v>9553036</v>
      </c>
      <c r="H49" s="60">
        <f>BÖLCSŐDE!H49+FALUHÁZ!H49+ÓVODA!H49+PMH!H49+ÖNKORMÁNYZAT!H49</f>
        <v>7750625</v>
      </c>
      <c r="I49" s="60">
        <f t="shared" si="0"/>
        <v>8455227.2727272734</v>
      </c>
      <c r="J49" s="60">
        <v>0</v>
      </c>
      <c r="K49" s="60">
        <v>9759187</v>
      </c>
      <c r="L49" s="60">
        <f>BÖLCSŐDE!L49+FALUHÁZ!L49+ÓVODA!L49+PMH!L49+ÖNKORMÁNYZAT!L49</f>
        <v>9759187</v>
      </c>
      <c r="M49" s="38">
        <f t="shared" si="1"/>
        <v>115.42193586538718</v>
      </c>
      <c r="O49" s="60">
        <f>BÖLCSŐDE!O49+FALUHÁZ!N49+ÓVODA!O49+PMH!O49+ÖNKORMÁNYZAT!O49</f>
        <v>12259187</v>
      </c>
      <c r="P49" s="60">
        <f>BÖLCSŐDE!P49+FALUHÁZ!O49+ÓVODA!P49+PMH!P49+ÖNKORMÁNYZAT!P49</f>
        <v>11382446</v>
      </c>
      <c r="Q49" s="60">
        <f>BÖLCSŐDE!Q49+FALUHÁZ!P49+ÓVODA!Q49+PMH!Q49+ÖNKORMÁNYZAT!Q49</f>
        <v>12636094</v>
      </c>
      <c r="R49" s="60">
        <f>BÖLCSŐDE!R49+FALUHÁZ!Q49+ÓVODA!R49+PMH!R49+ÖNKORMÁNYZAT!R49</f>
        <v>10047354</v>
      </c>
      <c r="S49" s="60">
        <f>BÖLCSŐDE!S49+FALUHÁZ!R49+ÓVODA!S49+PMH!S49+ÖNKORMÁNYZAT!S49</f>
        <v>15497212</v>
      </c>
      <c r="T49" s="60">
        <f>BÖLCSŐDE!T49+FALUHÁZ!S49+ÓVODA!T49+PMH!T49+ÖNKORMÁNYZAT!T49</f>
        <v>15497212</v>
      </c>
      <c r="U49" s="60">
        <f>BÖLCSŐDE!U49+FALUHÁZ!T49+ÓVODA!U49+PMH!U49+ÖNKORMÁNYZAT!U49</f>
        <v>14000000</v>
      </c>
      <c r="V49" s="60">
        <f>BÖLCSŐDE!V49+FALUHÁZ!U49+ÓVODA!V49+PMH!V49+ÖNKORMÁNYZAT!V49</f>
        <v>14000000</v>
      </c>
      <c r="W49" s="60">
        <f>BÖLCSŐDE!W49+FALUHÁZ!V49+ÓVODA!W49+PMH!W49+ÖNKORMÁNYZAT!W49</f>
        <v>14000000</v>
      </c>
      <c r="X49" s="123">
        <f t="shared" si="2"/>
        <v>110.69437142857143</v>
      </c>
      <c r="AA49" s="60">
        <f>BÖLCSŐDE!AA49+FALUHÁZ!Z49+ÓVODA!AA49+PMH!AA49+ÖNKORMÁNYZAT!AA49</f>
        <v>14000000</v>
      </c>
      <c r="AB49" s="60">
        <f>BÖLCSŐDE!AB49+FALUHÁZ!AA49+ÓVODA!AB49+PMH!AB49+ÖNKORMÁNYZAT!AB49</f>
        <v>6705672</v>
      </c>
      <c r="AC49" s="60">
        <f>BÖLCSŐDE!AB49+FALUHÁZ!AA49+ÓVODA!AB49+PMH!AB49+ÖNKORMÁNYZAT!AB49</f>
        <v>6705672</v>
      </c>
      <c r="AD49" s="60">
        <f>BÖLCSŐDE!AC49+FALUHÁZ!AB49+ÓVODA!AC49+PMH!AC49+ÖNKORMÁNYZAT!AC49</f>
        <v>8881176</v>
      </c>
      <c r="AE49" s="217">
        <f>BÖLCSŐDE!AE49+FALUHÁZ!AD49+ÓVODA!AE49+PMH!AE49+ÖNKORMÁNYZAT!AD49</f>
        <v>10013638</v>
      </c>
      <c r="AF49" s="123">
        <f t="shared" si="3"/>
        <v>63.436971428571432</v>
      </c>
      <c r="AG49" s="60">
        <f>BÖLCSŐDE!AG48+FALUHÁZ!AG48+ÓVODA!AG48+PMH!AG48+ÖNKORMÁNYZAT!AG48</f>
        <v>4858849</v>
      </c>
      <c r="AH49" s="55"/>
      <c r="AI49" s="60">
        <f>BÖLCSŐDE!AI49+FALUHÁZ!AJ49+ÓVODA!AI49+PMH!AI49+ÖNKORMÁNYZAT!AI49</f>
        <v>13552486.632000001</v>
      </c>
      <c r="AJ49" s="60"/>
      <c r="AK49" s="60">
        <f>BÖLCSŐDE!AL49+FALUHÁZ!AK49+ÓVODA!AK49+PMH!AK49+ÖNKORMÁNYZAT!AK49</f>
        <v>13552486.632000001</v>
      </c>
      <c r="AL49"/>
      <c r="AM49" s="60">
        <f>BÖLCSŐDE!AM49+FALUHÁZ!AM49+ÓVODA!AM49+PMH!AM49+ÖNKORMÁNYZAT!AM49</f>
        <v>15797835</v>
      </c>
      <c r="AN49" s="55">
        <f>BÖLCSŐDE!AN49+FALUHÁZ!AN49+ÓVODA!AP49+PMH!AN49+ÖNKORMÁNYZAT!AP49</f>
        <v>13552487</v>
      </c>
      <c r="AO49" s="55">
        <f>BÖLCSŐDE!AO49+FALUHÁZ!AO49+ÓVODA!AQ49+PMH!AO49+ÖNKORMÁNYZAT!AQ49</f>
        <v>10705459</v>
      </c>
      <c r="AP49" s="55">
        <f>BÖLCSŐDE!AP49+FALUHÁZ!AP49+ÓVODA!AP49+PMH!AP49+ÖNKORMÁNYZAT!AP49</f>
        <v>13552487</v>
      </c>
      <c r="AQ49" s="55">
        <f>BÖLCSŐDE!AQ49+FALUHÁZ!AQ49+ÓVODA!AQ49+PMH!AQ49+ÖNKORMÁNYZAT!AQ49</f>
        <v>10705459</v>
      </c>
      <c r="AR49" s="55">
        <f t="shared" si="4"/>
        <v>2847028</v>
      </c>
      <c r="AS49" s="54">
        <f t="shared" si="5"/>
        <v>78.992579000444721</v>
      </c>
      <c r="AT49" s="60">
        <f>BÖLCSŐDE!AT49+FALUHÁZ!AT49+ÓVODA!AT49+PMH!AT49+ÖNKORMÁNYZAT!AT49</f>
        <v>11866256</v>
      </c>
      <c r="AU49" s="60">
        <f t="shared" si="6"/>
        <v>1686231</v>
      </c>
      <c r="AV49" s="59">
        <f t="shared" si="7"/>
        <v>12.442225548712942</v>
      </c>
      <c r="AW49" s="60">
        <f>BÖLCSŐDE!AW49+FALUHÁZ!AW49+ÓVODA!AW49+PMH!AW49+ÖNKORMÁNYZAT!AW49</f>
        <v>13552487</v>
      </c>
      <c r="AX49" s="60">
        <f>BÖLCSŐDE!AX49+FALUHÁZ!AX49+ÓVODA!AX49+PMH!AX49+ÖNKORMÁNYZAT!AX49</f>
        <v>14636685.960000001</v>
      </c>
      <c r="AY49" s="60">
        <f>BÖLCSŐDE!AY49+FALUHÁZ!AY49+ÓVODA!AY49+PMH!AY49+ÖNKORMÁNYZAT!AY49</f>
        <v>14636685.960000001</v>
      </c>
      <c r="AZ49" s="60">
        <f>BÖLCSŐDE!AZ49+FALUHÁZ!AZ49+ÓVODA!AZ49+PMH!AZ49+ÖNKORMÁNYZAT!AZ49</f>
        <v>17856468</v>
      </c>
      <c r="BA49" s="60">
        <f>BÖLCSŐDE!BA49+FALUHÁZ!BA49+ÓVODA!BA49+PMH!BA49+ÖNKORMÁNYZAT!BA49</f>
        <v>14636685.960000001</v>
      </c>
      <c r="BB49" s="60">
        <f>BÖLCSŐDE!BB49+FALUHÁZ!BB49+ÓVODA!BB49+PMH!BB49+ÖNKORMÁNYZAT!BB49</f>
        <v>17856468</v>
      </c>
      <c r="BC49" s="60">
        <f>BÖLCSŐDE!BC49+FALUHÁZ!BC49+ÓVODA!BC49+PMH!BC49+ÖNKORMÁNYZAT!BC49</f>
        <v>17856468</v>
      </c>
      <c r="BD49" s="60">
        <f>BÖLCSŐDE!BD49+FALUHÁZ!BD49+ÓVODA!BD49+PMH!BD49+ÖNKORMÁNYZAT!BD49</f>
        <v>8374096</v>
      </c>
      <c r="BE49" s="60">
        <f>BÖLCSŐDE!BE49+FALUHÁZ!BE49+ÓVODA!BE49+PMH!BE49+ÖNKORMÁNYZAT!BE49</f>
        <v>10779968</v>
      </c>
      <c r="BF49" s="60">
        <f>BÖLCSŐDE!BF49+FALUHÁZ!BF49+ÓVODA!BF49+PMH!BF49+ÖNKORMÁNYZAT!BF49</f>
        <v>11965520</v>
      </c>
      <c r="BG49" s="60">
        <f>BÖLCSŐDE!BG49+FALUHÁZ!BG49+ÓVODA!BG49+PMH!BG49+ÖNKORMÁNYZAT!BG49</f>
        <v>13053294.545454545</v>
      </c>
      <c r="BH49" s="60">
        <f>BÖLCSŐDE!BH49+FALUHÁZ!BH49+ÓVODA!BH49+PMH!BH49+ÖNKORMÁNYZAT!BH49</f>
        <v>20256468</v>
      </c>
      <c r="BI49" s="60">
        <f>BÖLCSŐDE!BI49+FALUHÁZ!BI49+ÓVODA!BI49+PMH!BI49+ÖNKORMÁNYZAT!BI49</f>
        <v>20256468</v>
      </c>
      <c r="BJ49" s="60">
        <f>BÖLCSŐDE!BJ49+FALUHÁZ!BJ49+ÓVODA!BJ49+PMH!BJ49+ÖNKORMÁNYZAT!BJ49</f>
        <v>9216150</v>
      </c>
      <c r="BK49" s="60">
        <f>BÖLCSŐDE!BK49+FALUHÁZ!BK49+ÓVODA!BK49+PMH!BK49+ÖNKORMÁNYZAT!BK49</f>
        <v>15273814</v>
      </c>
      <c r="BL49" s="60">
        <f>BÖLCSŐDE!BL49+FALUHÁZ!BL49+ÓVODA!BL49+PMH!BL49+ÖNKORMÁNYZAT!BL49</f>
        <v>20256468</v>
      </c>
      <c r="BM49" s="60">
        <f>BÖLCSŐDE!BM49+FALUHÁZ!BM49+ÓVODA!BM49+PMH!BM49+ÖNKORMÁNYZAT!BM49</f>
        <v>18291277</v>
      </c>
      <c r="BN49" s="60">
        <f>BÖLCSŐDE!BN49+FALUHÁZ!BN49+ÓVODA!BN49+PMH!BN49+ÖNKORMÁNYZAT!BN49</f>
        <v>18291277</v>
      </c>
      <c r="BO49" s="60">
        <f>BÖLCSŐDE!BO49+FALUHÁZ!BO49+ÓVODA!BO49+PMH!BO49+ÖNKORMÁNYZAT!BO49</f>
        <v>15870188</v>
      </c>
      <c r="BP49" s="60">
        <f>BÖLCSŐDE!BP49+FALUHÁZ!BP49+ÓVODA!BP49+PMH!BP49+ÖNKORMÁNYZAT!BP49</f>
        <v>19044225.600000001</v>
      </c>
      <c r="BQ49" s="60">
        <f>BÖLCSŐDE!BQ49+FALUHÁZ!BQ49+ÓVODA!BQ49+PMH!BQ49+ÖNKORMÁNYZAT!BQ49</f>
        <v>20948648.160000004</v>
      </c>
      <c r="BR49" s="60">
        <f>BÖLCSŐDE!BR49+FALUHÁZ!BR49+ÓVODA!BR49+PMH!BR49+ÖNKORMÁNYZAT!BR49</f>
        <v>20000000</v>
      </c>
      <c r="BS49" s="60">
        <f>BÖLCSŐDE!BS49+FALUHÁZ!BS49+ÓVODA!BS49+PMH!BS49+ÖNKORMÁNYZAT!BS49</f>
        <v>20000000</v>
      </c>
      <c r="BT49" s="60">
        <f>BÖLCSŐDE!BT49+FALUHÁZ!BT49+ÓVODA!BT49+PMH!BT49+ÖNKORMÁNYZAT!BT49</f>
        <v>20000000</v>
      </c>
      <c r="BU49" s="60">
        <f>BÖLCSŐDE!BU49+FALUHÁZ!BU49+ÓVODA!BU49+PMH!BU49+ÖNKORMÁNYZAT!BU49</f>
        <v>26701180</v>
      </c>
      <c r="BV49" s="60">
        <f>BÖLCSŐDE!BV49+FALUHÁZ!BV49+ÓVODA!BV49+PMH!BV49+ÖNKORMÁNYZAT!BV49</f>
        <v>27840360</v>
      </c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</row>
    <row r="50" spans="1:92" s="39" customFormat="1" x14ac:dyDescent="0.25">
      <c r="A50" s="54" t="s">
        <v>37</v>
      </c>
      <c r="B50" s="60" t="s">
        <v>146</v>
      </c>
      <c r="C50" s="60">
        <f>BÖLCSŐDE!C50+FALUHÁZ!C50+ÓVODA!C50+PMH!C50+ÖNKORMÁNYZAT!C50</f>
        <v>2176217</v>
      </c>
      <c r="D50" s="60">
        <f>BÖLCSŐDE!D50+FALUHÁZ!D50+ÓVODA!D50+PMH!D50+ÖNKORMÁNYZAT!D50</f>
        <v>14553414</v>
      </c>
      <c r="E50" s="60">
        <f>BÖLCSŐDE!E50+FALUHÁZ!E50+ÓVODA!E50+PMH!E50+ÖNKORMÁNYZAT!E50</f>
        <v>19240543</v>
      </c>
      <c r="F50" s="60">
        <f>BÖLCSŐDE!F50+FALUHÁZ!F50+ÓVODA!F50+PMH!F50+ÖNKORMÁNYZAT!F50</f>
        <v>11705805</v>
      </c>
      <c r="G50" s="60">
        <f>BÖLCSŐDE!G50+FALUHÁZ!G50+ÓVODA!G50+PMH!G50+ÖNKORMÁNYZAT!G50</f>
        <v>7163899</v>
      </c>
      <c r="H50" s="60">
        <f>BÖLCSŐDE!H50+FALUHÁZ!H50+ÓVODA!H50+PMH!H50+ÖNKORMÁNYZAT!H50</f>
        <v>6100781</v>
      </c>
      <c r="I50" s="60">
        <f t="shared" si="0"/>
        <v>6655397.4545454551</v>
      </c>
      <c r="J50" s="60">
        <v>5031217</v>
      </c>
      <c r="K50" s="60">
        <v>7670554</v>
      </c>
      <c r="L50" s="60">
        <f>BÖLCSŐDE!L50+FALUHÁZ!L50+ÓVODA!L50+PMH!L50+ÖNKORMÁNYZAT!L50</f>
        <v>7670554</v>
      </c>
      <c r="M50" s="38">
        <f t="shared" si="1"/>
        <v>115.25313179848065</v>
      </c>
      <c r="O50" s="60">
        <f>BÖLCSŐDE!O50+FALUHÁZ!N50+ÓVODA!O50+PMH!O50+ÖNKORMÁNYZAT!O50</f>
        <v>8330554</v>
      </c>
      <c r="P50" s="60">
        <f>BÖLCSŐDE!P50+FALUHÁZ!O50+ÓVODA!P50+PMH!P50+ÖNKORMÁNYZAT!P50</f>
        <v>6720919</v>
      </c>
      <c r="Q50" s="60">
        <f>BÖLCSŐDE!Q50+FALUHÁZ!P50+ÓVODA!Q50+PMH!Q50+ÖNKORMÁNYZAT!Q50</f>
        <v>7110766</v>
      </c>
      <c r="R50" s="60">
        <f>BÖLCSŐDE!R50+FALUHÁZ!Q50+ÓVODA!R50+PMH!R50+ÖNKORMÁNYZAT!R50</f>
        <v>10231080</v>
      </c>
      <c r="S50" s="60">
        <f>BÖLCSŐDE!S50+FALUHÁZ!R50+ÓVODA!S50+PMH!S50+ÖNKORMÁNYZAT!S50</f>
        <v>8389354</v>
      </c>
      <c r="T50" s="60">
        <f>BÖLCSŐDE!T50+FALUHÁZ!S50+ÓVODA!T50+PMH!T50+ÖNKORMÁNYZAT!T50</f>
        <v>8389354</v>
      </c>
      <c r="U50" s="60">
        <f>BÖLCSŐDE!U50+FALUHÁZ!T50+ÓVODA!U50+PMH!U50+ÖNKORMÁNYZAT!U50</f>
        <v>8041217</v>
      </c>
      <c r="V50" s="60">
        <f>BÖLCSŐDE!V50+FALUHÁZ!U50+ÓVODA!V50+PMH!V50+ÖNKORMÁNYZAT!V50</f>
        <v>8041217</v>
      </c>
      <c r="W50" s="60">
        <f>BÖLCSŐDE!W50+FALUHÁZ!V50+ÓVODA!W50+PMH!W50+ÖNKORMÁNYZAT!W50</f>
        <v>7991217</v>
      </c>
      <c r="X50" s="123">
        <f t="shared" si="2"/>
        <v>104.32940685470868</v>
      </c>
      <c r="AA50" s="60">
        <f>BÖLCSŐDE!AA50+FALUHÁZ!Z50+ÓVODA!AA50+PMH!AA50+ÖNKORMÁNYZAT!AA50</f>
        <v>7991217</v>
      </c>
      <c r="AB50" s="60">
        <f>BÖLCSŐDE!AB50+FALUHÁZ!AA50+ÓVODA!AB50+PMH!AB50+ÖNKORMÁNYZAT!AB50</f>
        <v>4718042</v>
      </c>
      <c r="AC50" s="60">
        <f>BÖLCSŐDE!AB50+FALUHÁZ!AA50+ÓVODA!AB50+PMH!AB50+ÖNKORMÁNYZAT!AB50</f>
        <v>4718042</v>
      </c>
      <c r="AD50" s="60">
        <f>BÖLCSŐDE!AC50+FALUHÁZ!AB50+ÓVODA!AC50+PMH!AC50+ÖNKORMÁNYZAT!AC50</f>
        <v>6666719</v>
      </c>
      <c r="AE50" s="217">
        <f>BÖLCSŐDE!AE50+FALUHÁZ!AD50+ÓVODA!AE50+PMH!AE50+ÖNKORMÁNYZAT!AD50</f>
        <v>4122241.632651282</v>
      </c>
      <c r="AF50" s="123">
        <f t="shared" si="3"/>
        <v>83.425578356838514</v>
      </c>
      <c r="AG50" s="60">
        <f>BÖLCSŐDE!AG49+FALUHÁZ!AG49+ÓVODA!AG49+PMH!AG49+ÖNKORMÁNYZAT!AG49</f>
        <v>11072293</v>
      </c>
      <c r="AH50" s="55"/>
      <c r="AI50" s="60">
        <f>BÖLCSŐDE!AI50+FALUHÁZ!AJ50+ÓVODA!AI50+PMH!AI50+ÖNKORMÁNYZAT!AI50</f>
        <v>7742824.4239999996</v>
      </c>
      <c r="AJ50" s="60"/>
      <c r="AK50" s="60">
        <f>BÖLCSŐDE!AL50+FALUHÁZ!AK50+ÓVODA!AK50+PMH!AK50+ÖNKORMÁNYZAT!AK50</f>
        <v>7742824.4239999996</v>
      </c>
      <c r="AL50"/>
      <c r="AM50" s="60">
        <f>BÖLCSŐDE!AM50+FALUHÁZ!AM50+ÓVODA!AM50+PMH!AM50+ÖNKORMÁNYZAT!AM50</f>
        <v>10136128</v>
      </c>
      <c r="AN50" s="55">
        <f>BÖLCSŐDE!AN50+FALUHÁZ!AN50+ÓVODA!AP50+PMH!AN50+ÖNKORMÁNYZAT!AP50</f>
        <v>9674824</v>
      </c>
      <c r="AO50" s="55">
        <f>BÖLCSŐDE!AO50+FALUHÁZ!AO50+ÓVODA!AQ50+PMH!AO50+ÖNKORMÁNYZAT!AQ50</f>
        <v>7273513</v>
      </c>
      <c r="AP50" s="55">
        <f>BÖLCSŐDE!AP50+FALUHÁZ!AP50+ÓVODA!AP50+PMH!AP50+ÖNKORMÁNYZAT!AP50</f>
        <v>9674824</v>
      </c>
      <c r="AQ50" s="55">
        <f>BÖLCSŐDE!AQ50+FALUHÁZ!AQ50+ÓVODA!AQ50+PMH!AQ50+ÖNKORMÁNYZAT!AQ50</f>
        <v>8231407</v>
      </c>
      <c r="AR50" s="55">
        <f t="shared" si="4"/>
        <v>1443417</v>
      </c>
      <c r="AS50" s="54">
        <f t="shared" si="5"/>
        <v>85.080689839939211</v>
      </c>
      <c r="AT50" s="60">
        <f>BÖLCSŐDE!AT50+FALUHÁZ!AT50+ÓVODA!AT50+PMH!AT50+ÖNKORMÁNYZAT!AT50</f>
        <v>9089796</v>
      </c>
      <c r="AU50" s="60">
        <f t="shared" si="6"/>
        <v>585028</v>
      </c>
      <c r="AV50" s="59">
        <f t="shared" si="7"/>
        <v>6.0469110342472385</v>
      </c>
      <c r="AW50" s="60">
        <f>BÖLCSŐDE!AW50+FALUHÁZ!AW50+ÓVODA!AW50+PMH!AW50+ÖNKORMÁNYZAT!AW50</f>
        <v>7742824</v>
      </c>
      <c r="AX50" s="60">
        <f>BÖLCSŐDE!AX50+FALUHÁZ!AX50+ÓVODA!AX50+PMH!AX50+ÖNKORMÁNYZAT!AX50</f>
        <v>8362249.9200000009</v>
      </c>
      <c r="AY50" s="60">
        <f>BÖLCSŐDE!AY50+FALUHÁZ!AY50+ÓVODA!AY50+PMH!AY50+ÖNKORMÁNYZAT!AY50</f>
        <v>8362249.9200000009</v>
      </c>
      <c r="AZ50" s="60">
        <f>BÖLCSŐDE!AZ50+FALUHÁZ!AZ50+ÓVODA!AZ50+PMH!AZ50+ÖNKORMÁNYZAT!AZ50</f>
        <v>5192824</v>
      </c>
      <c r="BA50" s="60">
        <f>BÖLCSŐDE!BA50+FALUHÁZ!BA50+ÓVODA!BA50+PMH!BA50+ÖNKORMÁNYZAT!BA50</f>
        <v>8180249.9200000009</v>
      </c>
      <c r="BB50" s="60">
        <f>BÖLCSŐDE!BB50+FALUHÁZ!BB50+ÓVODA!BB50+PMH!BB50+ÖNKORMÁNYZAT!BB50</f>
        <v>5192824</v>
      </c>
      <c r="BC50" s="60">
        <f>BÖLCSŐDE!BC50+FALUHÁZ!BC50+ÓVODA!BC50+PMH!BC50+ÖNKORMÁNYZAT!BC50</f>
        <v>7688649</v>
      </c>
      <c r="BD50" s="60">
        <f>BÖLCSŐDE!BD50+FALUHÁZ!BD50+ÓVODA!BD50+PMH!BD50+ÖNKORMÁNYZAT!BD50</f>
        <v>7292873</v>
      </c>
      <c r="BE50" s="60">
        <f>BÖLCSŐDE!BE50+FALUHÁZ!BE50+ÓVODA!BE50+PMH!BE50+ÖNKORMÁNYZAT!BE50</f>
        <v>10541652</v>
      </c>
      <c r="BF50" s="60">
        <f>BÖLCSŐDE!BF50+FALUHÁZ!BF50+ÓVODA!BF50+PMH!BF50+ÖNKORMÁNYZAT!BF50</f>
        <v>10908545</v>
      </c>
      <c r="BG50" s="60">
        <f>BÖLCSŐDE!BG50+FALUHÁZ!BG50+ÓVODA!BG50+PMH!BG50+ÖNKORMÁNYZAT!BG50</f>
        <v>11900230.90909091</v>
      </c>
      <c r="BH50" s="60">
        <f>BÖLCSŐDE!BH50+FALUHÁZ!BH50+ÓVODA!BH50+PMH!BH50+ÖNKORMÁNYZAT!BH50</f>
        <v>11033851</v>
      </c>
      <c r="BI50" s="60">
        <f>BÖLCSŐDE!BI50+FALUHÁZ!BI50+ÓVODA!BI50+PMH!BI50+ÖNKORMÁNYZAT!BI50</f>
        <v>12151574</v>
      </c>
      <c r="BJ50" s="60">
        <f>BÖLCSŐDE!BJ50+FALUHÁZ!BJ50+ÓVODA!BJ50+PMH!BJ50+ÖNKORMÁNYZAT!BJ50</f>
        <v>6266689</v>
      </c>
      <c r="BK50" s="60">
        <f>BÖLCSŐDE!BK50+FALUHÁZ!BK50+ÓVODA!BK50+PMH!BK50+ÖNKORMÁNYZAT!BK50</f>
        <v>11374522</v>
      </c>
      <c r="BL50" s="60">
        <f>BÖLCSŐDE!BL50+FALUHÁZ!BL50+ÓVODA!BL50+PMH!BL50+ÖNKORMÁNYZAT!BL50</f>
        <v>12151574</v>
      </c>
      <c r="BM50" s="60">
        <f>BÖLCSŐDE!BM50+FALUHÁZ!BM50+ÓVODA!BM50+PMH!BM50+ÖNKORMÁNYZAT!BM50</f>
        <v>13096520</v>
      </c>
      <c r="BN50" s="60">
        <f>BÖLCSŐDE!BN50+FALUHÁZ!BN50+ÓVODA!BN50+PMH!BN50+ÖNKORMÁNYZAT!BN50</f>
        <v>13096520</v>
      </c>
      <c r="BO50" s="60">
        <f>BÖLCSŐDE!BO50+FALUHÁZ!BO50+ÓVODA!BO50+PMH!BO50+ÖNKORMÁNYZAT!BO50</f>
        <v>10646607</v>
      </c>
      <c r="BP50" s="60">
        <f>BÖLCSŐDE!BP50+FALUHÁZ!BP50+ÓVODA!BP50+PMH!BP50+ÖNKORMÁNYZAT!BP50</f>
        <v>12775928.399999999</v>
      </c>
      <c r="BQ50" s="60">
        <f>BÖLCSŐDE!BQ50+FALUHÁZ!BQ50+ÓVODA!BQ50+PMH!BQ50+ÖNKORMÁNYZAT!BQ50</f>
        <v>14053521.24</v>
      </c>
      <c r="BR50" s="60">
        <f>BÖLCSŐDE!BR50+FALUHÁZ!BR50+ÓVODA!BR50+PMH!BR50+ÖNKORMÁNYZAT!BR50</f>
        <v>12800000</v>
      </c>
      <c r="BS50" s="60">
        <f>BÖLCSŐDE!BS50+FALUHÁZ!BS50+ÓVODA!BS50+PMH!BS50+ÖNKORMÁNYZAT!BS50</f>
        <v>12800000</v>
      </c>
      <c r="BT50" s="60">
        <f>BÖLCSŐDE!BT50+FALUHÁZ!BT50+ÓVODA!BT50+PMH!BT50+ÖNKORMÁNYZAT!BT50</f>
        <v>12800000</v>
      </c>
      <c r="BU50" s="60">
        <f>BÖLCSŐDE!BU50+FALUHÁZ!BU50+ÓVODA!BU50+PMH!BU50+ÖNKORMÁNYZAT!BU50</f>
        <v>20546000</v>
      </c>
      <c r="BV50" s="60">
        <f>BÖLCSŐDE!BV50+FALUHÁZ!BV50+ÓVODA!BV50+PMH!BV50+ÖNKORMÁNYZAT!BV50</f>
        <v>21871449</v>
      </c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</row>
    <row r="51" spans="1:92" s="39" customFormat="1" x14ac:dyDescent="0.25">
      <c r="A51" s="54" t="s">
        <v>38</v>
      </c>
      <c r="B51" s="60" t="s">
        <v>147</v>
      </c>
      <c r="C51" s="60">
        <f>BÖLCSŐDE!C51+FALUHÁZ!C51+ÓVODA!C51+PMH!C51+ÖNKORMÁNYZAT!C51</f>
        <v>1080000</v>
      </c>
      <c r="D51" s="60">
        <f>BÖLCSŐDE!D51+FALUHÁZ!D51+ÓVODA!D51+PMH!D51+ÖNKORMÁNYZAT!D51</f>
        <v>979979</v>
      </c>
      <c r="E51" s="60">
        <f>BÖLCSŐDE!E51+FALUHÁZ!E51+ÓVODA!E51+PMH!E51+ÖNKORMÁNYZAT!E51</f>
        <v>1080000</v>
      </c>
      <c r="F51" s="60">
        <f>BÖLCSŐDE!F51+FALUHÁZ!F51+ÓVODA!F51+PMH!F51+ÖNKORMÁNYZAT!F51</f>
        <v>596957</v>
      </c>
      <c r="G51" s="60">
        <f>BÖLCSŐDE!G51+FALUHÁZ!G51+ÓVODA!G51+PMH!G51+ÖNKORMÁNYZAT!G51</f>
        <v>1180000</v>
      </c>
      <c r="H51" s="60">
        <f>BÖLCSŐDE!H51+FALUHÁZ!H51+ÓVODA!H51+PMH!H51+ÖNKORMÁNYZAT!H51</f>
        <v>761999</v>
      </c>
      <c r="I51" s="60">
        <f t="shared" si="0"/>
        <v>831271.63636363635</v>
      </c>
      <c r="J51" s="60">
        <v>1050000</v>
      </c>
      <c r="K51" s="60">
        <v>1050000</v>
      </c>
      <c r="L51" s="60">
        <f>BÖLCSŐDE!L51+FALUHÁZ!L51+ÓVODA!L51+PMH!L51+ÖNKORMÁNYZAT!L51</f>
        <v>1050000</v>
      </c>
      <c r="M51" s="38">
        <f t="shared" si="1"/>
        <v>126.31250172244322</v>
      </c>
      <c r="O51" s="60">
        <f>BÖLCSŐDE!O51+FALUHÁZ!N51+ÓVODA!O51+PMH!O51+ÖNKORMÁNYZAT!O51</f>
        <v>2200000</v>
      </c>
      <c r="P51" s="60">
        <f>BÖLCSŐDE!P51+FALUHÁZ!O51+ÓVODA!P51+PMH!P51+ÖNKORMÁNYZAT!P51</f>
        <v>1875995</v>
      </c>
      <c r="Q51" s="60">
        <f>BÖLCSŐDE!Q51+FALUHÁZ!P51+ÓVODA!Q51+PMH!Q51+ÖNKORMÁNYZAT!Q51</f>
        <v>2006985</v>
      </c>
      <c r="R51" s="60">
        <f>BÖLCSŐDE!R51+FALUHÁZ!Q51+ÓVODA!R51+PMH!R51+ÖNKORMÁNYZAT!R51</f>
        <v>1050000</v>
      </c>
      <c r="S51" s="60">
        <f>BÖLCSŐDE!S51+FALUHÁZ!R51+ÓVODA!S51+PMH!S51+ÖNKORMÁNYZAT!S51</f>
        <v>2875254</v>
      </c>
      <c r="T51" s="60">
        <f>BÖLCSŐDE!T51+FALUHÁZ!S51+ÓVODA!T51+PMH!T51+ÖNKORMÁNYZAT!T51</f>
        <v>2875254</v>
      </c>
      <c r="U51" s="60">
        <f>BÖLCSŐDE!U51+FALUHÁZ!T51+ÓVODA!U51+PMH!U51+ÖNKORMÁNYZAT!U51</f>
        <v>2830000</v>
      </c>
      <c r="V51" s="60">
        <f>BÖLCSŐDE!V51+FALUHÁZ!U51+ÓVODA!V51+PMH!V51+ÖNKORMÁNYZAT!V51</f>
        <v>2830000</v>
      </c>
      <c r="W51" s="60">
        <f>BÖLCSŐDE!W51+FALUHÁZ!V51+ÓVODA!W51+PMH!W51+ÖNKORMÁNYZAT!W51</f>
        <v>2600000</v>
      </c>
      <c r="X51" s="123">
        <f t="shared" si="2"/>
        <v>101.59908127208482</v>
      </c>
      <c r="AA51" s="60">
        <f>BÖLCSŐDE!AA51+FALUHÁZ!Z51+ÓVODA!AA51+PMH!AA51+ÖNKORMÁNYZAT!AA51</f>
        <v>2600000</v>
      </c>
      <c r="AB51" s="60">
        <f>BÖLCSŐDE!AB51+FALUHÁZ!AA51+ÓVODA!AB51+PMH!AB51+ÖNKORMÁNYZAT!AB51</f>
        <v>1913243</v>
      </c>
      <c r="AC51" s="60">
        <f>BÖLCSŐDE!AB51+FALUHÁZ!AA51+ÓVODA!AB51+PMH!AB51+ÖNKORMÁNYZAT!AB51</f>
        <v>1913243</v>
      </c>
      <c r="AD51" s="60">
        <f>BÖLCSŐDE!AC51+FALUHÁZ!AB51+ÓVODA!AC51+PMH!AC51+ÖNKORMÁNYZAT!AC51</f>
        <v>2394203</v>
      </c>
      <c r="AE51" s="217">
        <f>BÖLCSŐDE!AE51+FALUHÁZ!AD51+ÓVODA!AE51+PMH!AE51+ÖNKORMÁNYZAT!AD51</f>
        <v>2073507.828</v>
      </c>
      <c r="AF51" s="123">
        <f t="shared" si="3"/>
        <v>92.084730769230774</v>
      </c>
      <c r="AG51" s="60">
        <f>BÖLCSŐDE!AG50+FALUHÁZ!AG50+ÓVODA!AG50+PMH!AG50+ÖNKORMÁNYZAT!AG50</f>
        <v>8015703</v>
      </c>
      <c r="AH51" s="55"/>
      <c r="AI51" s="60">
        <f>BÖLCSŐDE!AI51+FALUHÁZ!AJ51+ÓVODA!AI51+PMH!AI51+ÖNKORMÁNYZAT!AI51</f>
        <v>3943245.6719999998</v>
      </c>
      <c r="AJ51" s="60"/>
      <c r="AK51" s="60">
        <f>BÖLCSŐDE!AL51+FALUHÁZ!AK51+ÓVODA!AK51+PMH!AK51+ÖNKORMÁNYZAT!AK51</f>
        <v>3943245.6719999998</v>
      </c>
      <c r="AL51"/>
      <c r="AM51" s="60">
        <f>BÖLCSŐDE!AM51+FALUHÁZ!AM51+ÓVODA!AM51+PMH!AM51+ÖNKORMÁNYZAT!AM51</f>
        <v>3688545</v>
      </c>
      <c r="AN51" s="55">
        <f>BÖLCSŐDE!AN51+FALUHÁZ!AN51+ÓVODA!AP51+PMH!AN51+ÖNKORMÁNYZAT!AP51</f>
        <v>4093246</v>
      </c>
      <c r="AO51" s="55">
        <f>BÖLCSŐDE!AO51+FALUHÁZ!AO51+ÓVODA!AQ51+PMH!AO51+ÖNKORMÁNYZAT!AQ51</f>
        <v>2631354</v>
      </c>
      <c r="AP51" s="55">
        <f>BÖLCSŐDE!AP51+FALUHÁZ!AP51+ÓVODA!AP51+PMH!AP51+ÖNKORMÁNYZAT!AP51</f>
        <v>4093246</v>
      </c>
      <c r="AQ51" s="55">
        <f>BÖLCSŐDE!AQ51+FALUHÁZ!AQ51+ÓVODA!AQ51+PMH!AQ51+ÖNKORMÁNYZAT!AQ51</f>
        <v>2806804</v>
      </c>
      <c r="AR51" s="55">
        <f t="shared" si="4"/>
        <v>1286442</v>
      </c>
      <c r="AS51" s="54">
        <f t="shared" si="5"/>
        <v>68.571593302723556</v>
      </c>
      <c r="AT51" s="60">
        <f>BÖLCSŐDE!AT51+FALUHÁZ!AT51+ÓVODA!AT51+PMH!AT51+ÖNKORMÁNYZAT!AT51</f>
        <v>3192097</v>
      </c>
      <c r="AU51" s="60">
        <f t="shared" si="6"/>
        <v>901149</v>
      </c>
      <c r="AV51" s="59">
        <f t="shared" si="7"/>
        <v>22.015510428642695</v>
      </c>
      <c r="AW51" s="60">
        <f>BÖLCSŐDE!AW51+FALUHÁZ!AW51+ÓVODA!AW51+PMH!AW51+ÖNKORMÁNYZAT!AW51</f>
        <v>3943246</v>
      </c>
      <c r="AX51" s="60">
        <f>BÖLCSŐDE!AX51+FALUHÁZ!AX51+ÓVODA!AX51+PMH!AX51+ÖNKORMÁNYZAT!AX51</f>
        <v>4258705.6800000006</v>
      </c>
      <c r="AY51" s="60">
        <f>BÖLCSŐDE!AY51+FALUHÁZ!AY51+ÓVODA!AY51+PMH!AY51+ÖNKORMÁNYZAT!AY51</f>
        <v>4258705.6800000006</v>
      </c>
      <c r="AZ51" s="60">
        <f>BÖLCSŐDE!AZ51+FALUHÁZ!AZ51+ÓVODA!AZ51+PMH!AZ51+ÖNKORMÁNYZAT!AZ51</f>
        <v>2033686</v>
      </c>
      <c r="BA51" s="60">
        <f>BÖLCSŐDE!BA51+FALUHÁZ!BA51+ÓVODA!BA51+PMH!BA51+ÖNKORMÁNYZAT!BA51</f>
        <v>4314780.8800000008</v>
      </c>
      <c r="BB51" s="60">
        <f>BÖLCSŐDE!BB51+FALUHÁZ!BB51+ÓVODA!BB51+PMH!BB51+ÖNKORMÁNYZAT!BB51</f>
        <v>2033686</v>
      </c>
      <c r="BC51" s="60">
        <f>BÖLCSŐDE!BC51+FALUHÁZ!BC51+ÓVODA!BC51+PMH!BC51+ÖNKORMÁNYZAT!BC51</f>
        <v>2037981</v>
      </c>
      <c r="BD51" s="60">
        <f>BÖLCSŐDE!BD51+FALUHÁZ!BD51+ÓVODA!BD51+PMH!BD51+ÖNKORMÁNYZAT!BD51</f>
        <v>1579475</v>
      </c>
      <c r="BE51" s="60">
        <f>BÖLCSŐDE!BE51+FALUHÁZ!BE51+ÓVODA!BE51+PMH!BE51+ÖNKORMÁNYZAT!BE51</f>
        <v>1879475</v>
      </c>
      <c r="BF51" s="60">
        <f>BÖLCSŐDE!BF51+FALUHÁZ!BF51+ÓVODA!BF51+PMH!BF51+ÖNKORMÁNYZAT!BF51</f>
        <v>2123492</v>
      </c>
      <c r="BG51" s="60">
        <f>BÖLCSŐDE!BG51+FALUHÁZ!BG51+ÓVODA!BG51+PMH!BG51+ÖNKORMÁNYZAT!BG51</f>
        <v>2316536.7272727275</v>
      </c>
      <c r="BH51" s="60">
        <f>BÖLCSŐDE!BH51+FALUHÁZ!BH51+ÓVODA!BH51+PMH!BH51+ÖNKORMÁNYZAT!BH51</f>
        <v>4497000</v>
      </c>
      <c r="BI51" s="60">
        <f>BÖLCSŐDE!BI51+FALUHÁZ!BI51+ÓVODA!BI51+PMH!BI51+ÖNKORMÁNYZAT!BI51</f>
        <v>5037678</v>
      </c>
      <c r="BJ51" s="60">
        <f>BÖLCSŐDE!BJ51+FALUHÁZ!BJ51+ÓVODA!BJ51+PMH!BJ51+ÖNKORMÁNYZAT!BJ51</f>
        <v>1973159</v>
      </c>
      <c r="BK51" s="60">
        <f>BÖLCSŐDE!BK51+FALUHÁZ!BK51+ÓVODA!BK51+PMH!BK51+ÖNKORMÁNYZAT!BK51</f>
        <v>3023522</v>
      </c>
      <c r="BL51" s="60">
        <f>BÖLCSŐDE!BL51+FALUHÁZ!BL51+ÓVODA!BL51+PMH!BL51+ÖNKORMÁNYZAT!BL51</f>
        <v>5037678</v>
      </c>
      <c r="BM51" s="60">
        <f>BÖLCSŐDE!BM51+FALUHÁZ!BM51+ÓVODA!BM51+PMH!BM51+ÖNKORMÁNYZAT!BM51</f>
        <v>3304400</v>
      </c>
      <c r="BN51" s="60">
        <f>BÖLCSŐDE!BN51+FALUHÁZ!BN51+ÓVODA!BN51+PMH!BN51+ÖNKORMÁNYZAT!BN51</f>
        <v>3304400</v>
      </c>
      <c r="BO51" s="60">
        <f>BÖLCSŐDE!BO51+FALUHÁZ!BO51+ÓVODA!BO51+PMH!BO51+ÖNKORMÁNYZAT!BO51</f>
        <v>1638185</v>
      </c>
      <c r="BP51" s="60">
        <f>BÖLCSŐDE!BP51+FALUHÁZ!BP51+ÓVODA!BP51+PMH!BP51+ÖNKORMÁNYZAT!BP51</f>
        <v>1965822</v>
      </c>
      <c r="BQ51" s="60">
        <f>BÖLCSŐDE!BQ51+FALUHÁZ!BQ51+ÓVODA!BQ51+PMH!BQ51+ÖNKORMÁNYZAT!BQ51</f>
        <v>2162404.2000000002</v>
      </c>
      <c r="BR51" s="60">
        <f>BÖLCSŐDE!BR51+FALUHÁZ!BR51+ÓVODA!BR51+PMH!BR51+ÖNKORMÁNYZAT!BR51</f>
        <v>2450000</v>
      </c>
      <c r="BS51" s="60">
        <f>BÖLCSŐDE!BS51+FALUHÁZ!BS51+ÓVODA!BS51+PMH!BS51+ÖNKORMÁNYZAT!BS51</f>
        <v>2450000</v>
      </c>
      <c r="BT51" s="60">
        <f>BÖLCSŐDE!BT51+FALUHÁZ!BT51+ÓVODA!BT51+PMH!BT51+ÖNKORMÁNYZAT!BT51</f>
        <v>2450000</v>
      </c>
      <c r="BU51" s="60">
        <f>BÖLCSŐDE!BU51+FALUHÁZ!BU51+ÓVODA!BU51+PMH!BU51+ÖNKORMÁNYZAT!BU51</f>
        <v>3450000</v>
      </c>
      <c r="BV51" s="60">
        <f>BÖLCSŐDE!BV51+FALUHÁZ!BV51+ÓVODA!BV51+PMH!BV51+ÖNKORMÁNYZAT!BV51</f>
        <v>2990000</v>
      </c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</row>
    <row r="52" spans="1:92" s="39" customFormat="1" x14ac:dyDescent="0.25">
      <c r="A52" s="54" t="s">
        <v>39</v>
      </c>
      <c r="B52" s="59" t="s">
        <v>148</v>
      </c>
      <c r="C52" s="60">
        <f>BÖLCSŐDE!C52+FALUHÁZ!C52+ÓVODA!C52+PMH!C52+ÖNKORMÁNYZAT!C52</f>
        <v>46665138</v>
      </c>
      <c r="D52" s="60">
        <f>BÖLCSŐDE!D52+FALUHÁZ!D52+ÓVODA!D52+PMH!D52+ÖNKORMÁNYZAT!D52</f>
        <v>42464642.439999998</v>
      </c>
      <c r="E52" s="60">
        <f>BÖLCSŐDE!E52+FALUHÁZ!E52+ÓVODA!E52+PMH!E52+ÖNKORMÁNYZAT!E52</f>
        <v>44367485.079999998</v>
      </c>
      <c r="F52" s="60">
        <f>BÖLCSŐDE!F52+FALUHÁZ!F52+ÓVODA!F52+PMH!F52+ÖNKORMÁNYZAT!F52</f>
        <v>36244408</v>
      </c>
      <c r="G52" s="60">
        <f>BÖLCSŐDE!G52+FALUHÁZ!G52+ÓVODA!G52+PMH!G52+ÖNKORMÁNYZAT!G52</f>
        <v>44979485.079999998</v>
      </c>
      <c r="H52" s="60">
        <f>BÖLCSŐDE!H52+FALUHÁZ!H52+ÓVODA!H52+PMH!H52+ÖNKORMÁNYZAT!H52</f>
        <v>39977411</v>
      </c>
      <c r="I52" s="60">
        <f t="shared" si="0"/>
        <v>43611721.090909094</v>
      </c>
      <c r="J52" s="60">
        <v>43625612</v>
      </c>
      <c r="K52" s="60">
        <v>42399179.939999998</v>
      </c>
      <c r="L52" s="60" t="e">
        <f>BÖLCSŐDE!L52+FALUHÁZ!L52+ÓVODA!L52+PMH!L52+ÖNKORMÁNYZAT!L52</f>
        <v>#REF!</v>
      </c>
      <c r="M52" s="38" t="e">
        <f t="shared" si="1"/>
        <v>#REF!</v>
      </c>
      <c r="O52" s="60">
        <f>BÖLCSŐDE!O52+FALUHÁZ!N52+ÓVODA!O52+PMH!O52+ÖNKORMÁNYZAT!O52</f>
        <v>44166415</v>
      </c>
      <c r="P52" s="60">
        <f>BÖLCSŐDE!P52+FALUHÁZ!O52+ÓVODA!P52+PMH!P52+ÖNKORMÁNYZAT!P52</f>
        <v>31249327</v>
      </c>
      <c r="Q52" s="60">
        <f>BÖLCSŐDE!Q52+FALUHÁZ!P52+ÓVODA!Q52+PMH!Q52+ÖNKORMÁNYZAT!Q52</f>
        <v>34498221</v>
      </c>
      <c r="R52" s="60">
        <f>BÖLCSŐDE!R52+FALUHÁZ!Q52+ÓVODA!R52+PMH!R52+ÖNKORMÁNYZAT!R52</f>
        <v>56694807.491099998</v>
      </c>
      <c r="S52" s="60">
        <f>BÖLCSŐDE!S52+FALUHÁZ!R52+ÓVODA!S52+PMH!S52+ÖNKORMÁNYZAT!S52</f>
        <v>42827356</v>
      </c>
      <c r="T52" s="60">
        <f>BÖLCSŐDE!T52+FALUHÁZ!S52+ÓVODA!T52+PMH!T52+ÖNKORMÁNYZAT!T52</f>
        <v>42689532</v>
      </c>
      <c r="U52" s="60">
        <f>BÖLCSŐDE!U52+FALUHÁZ!T52+ÓVODA!U52+PMH!U52+ÖNKORMÁNYZAT!U52</f>
        <v>47969599.18</v>
      </c>
      <c r="V52" s="60">
        <f>BÖLCSŐDE!V52+FALUHÁZ!U52+ÓVODA!V52+PMH!V52+ÖNKORMÁNYZAT!V52</f>
        <v>47969599.18</v>
      </c>
      <c r="W52" s="60">
        <f>BÖLCSŐDE!W52+FALUHÁZ!V52+ÓVODA!W52+PMH!W52+ÖNKORMÁNYZAT!W52</f>
        <v>47969599.18</v>
      </c>
      <c r="X52" s="123">
        <f t="shared" si="2"/>
        <v>88.992888683127831</v>
      </c>
      <c r="AA52" s="60">
        <f>BÖLCSŐDE!AA52+FALUHÁZ!Z52+ÓVODA!AA52+PMH!AA52+ÖNKORMÁNYZAT!AA52</f>
        <v>47969599.18</v>
      </c>
      <c r="AB52" s="60">
        <f>BÖLCSŐDE!AB52+FALUHÁZ!AA52+ÓVODA!AB52+PMH!AB52+ÖNKORMÁNYZAT!AB52</f>
        <v>22972015</v>
      </c>
      <c r="AC52" s="60">
        <f>BÖLCSŐDE!AB52+FALUHÁZ!AA52+ÓVODA!AB52+PMH!AB52+ÖNKORMÁNYZAT!AB52</f>
        <v>22972015</v>
      </c>
      <c r="AD52" s="60">
        <f>BÖLCSŐDE!AC52+FALUHÁZ!AB52+ÓVODA!AC52+PMH!AC52+ÖNKORMÁNYZAT!AC52</f>
        <v>30407026</v>
      </c>
      <c r="AE52" s="217">
        <f>BÖLCSŐDE!AE52+FALUHÁZ!AD52+ÓVODA!AE52+PMH!AE52+ÖNKORMÁNYZAT!AD52</f>
        <v>78.663691661005018</v>
      </c>
      <c r="AF52" s="123">
        <f t="shared" si="3"/>
        <v>63.388117724105605</v>
      </c>
      <c r="AG52" s="60">
        <f>BÖLCSŐDE!AG51+FALUHÁZ!AG51+ÓVODA!AG51+PMH!AG51+ÖNKORMÁNYZAT!AG51</f>
        <v>2834768</v>
      </c>
      <c r="AH52" s="55"/>
      <c r="AI52" s="60">
        <f>BÖLCSŐDE!AI52+FALUHÁZ!AJ52+ÓVODA!AI52+PMH!AI52+ÖNKORMÁNYZAT!AI52</f>
        <v>47066142.128000006</v>
      </c>
      <c r="AJ52" s="60"/>
      <c r="AK52" s="60">
        <f>BÖLCSŐDE!AL52+FALUHÁZ!AK52+ÓVODA!AK52+PMH!AK52+ÖNKORMÁNYZAT!AK52</f>
        <v>50015331.298999995</v>
      </c>
      <c r="AL52"/>
      <c r="AM52" s="60">
        <f>BÖLCSŐDE!AM52+FALUHÁZ!AM52+ÓVODA!AM52+PMH!AM52+ÖNKORMÁNYZAT!AM52</f>
        <v>47035651</v>
      </c>
      <c r="AN52" s="55">
        <f>BÖLCSŐDE!AN52+FALUHÁZ!AN52+ÓVODA!AP52+PMH!AN52+ÖNKORMÁNYZAT!AP52</f>
        <v>48216571</v>
      </c>
      <c r="AO52" s="55">
        <f>BÖLCSŐDE!AO52+FALUHÁZ!AO52+ÓVODA!AQ52+PMH!AO52+ÖNKORMÁNYZAT!AQ52</f>
        <v>29953614</v>
      </c>
      <c r="AP52" s="55">
        <f>BÖLCSŐDE!AP52+FALUHÁZ!AP52+ÓVODA!AP52+PMH!AP52+ÖNKORMÁNYZAT!AP52</f>
        <v>52095842</v>
      </c>
      <c r="AQ52" s="55">
        <f>BÖLCSŐDE!AQ52+FALUHÁZ!AQ52+ÓVODA!AQ52+PMH!AQ52+ÖNKORMÁNYZAT!AQ52</f>
        <v>35808209</v>
      </c>
      <c r="AR52" s="55">
        <f t="shared" si="4"/>
        <v>16287633</v>
      </c>
      <c r="AS52" s="54">
        <f t="shared" si="5"/>
        <v>68.735253381642252</v>
      </c>
      <c r="AT52" s="60">
        <f>BÖLCSŐDE!AT52+FALUHÁZ!AT52+ÓVODA!AT52+PMH!AT52+ÖNKORMÁNYZAT!AT52</f>
        <v>39544704</v>
      </c>
      <c r="AU52" s="60">
        <f t="shared" si="6"/>
        <v>12551138</v>
      </c>
      <c r="AV52" s="59">
        <f t="shared" si="7"/>
        <v>24.09239877531877</v>
      </c>
      <c r="AW52" s="60">
        <f>BÖLCSŐDE!AW52+FALUHÁZ!AW52+ÓVODA!AW52+PMH!AW52+ÖNKORMÁNYZAT!AW52</f>
        <v>52095842.200000003</v>
      </c>
      <c r="AX52" s="60">
        <f>BÖLCSŐDE!AX52+FALUHÁZ!AX52+ÓVODA!AX52+PMH!AX52+ÖNKORMÁNYZAT!AX52</f>
        <v>55953167.895999998</v>
      </c>
      <c r="AY52" s="60">
        <f>BÖLCSŐDE!AY52+FALUHÁZ!AY52+ÓVODA!AY52+PMH!AY52+ÖNKORMÁNYZAT!AY52</f>
        <v>55953167.895999998</v>
      </c>
      <c r="AZ52" s="60">
        <f>BÖLCSŐDE!AZ52+FALUHÁZ!AZ52+ÓVODA!AZ52+PMH!AZ52+ÖNKORMÁNYZAT!AZ52</f>
        <v>49845714</v>
      </c>
      <c r="BA52" s="60">
        <f>BÖLCSŐDE!BA52+FALUHÁZ!BA52+ÓVODA!BA52+PMH!BA52+ÖNKORMÁNYZAT!BA52</f>
        <v>56537359.040000007</v>
      </c>
      <c r="BB52" s="60">
        <f>BÖLCSŐDE!BB52+FALUHÁZ!BB52+ÓVODA!BB52+PMH!BB52+ÖNKORMÁNYZAT!BB52</f>
        <v>49845714</v>
      </c>
      <c r="BC52" s="60">
        <f>BÖLCSŐDE!BC52+FALUHÁZ!BC52+ÓVODA!BC52+PMH!BC52+ÖNKORMÁNYZAT!BC52</f>
        <v>49845714</v>
      </c>
      <c r="BD52" s="60">
        <f>BÖLCSŐDE!BD52+FALUHÁZ!BD52+ÓVODA!BD52+PMH!BD52+ÖNKORMÁNYZAT!BD52</f>
        <v>29440201</v>
      </c>
      <c r="BE52" s="60">
        <f>BÖLCSŐDE!BE52+FALUHÁZ!BE52+ÓVODA!BE52+PMH!BE52+ÖNKORMÁNYZAT!BE52</f>
        <v>34785072</v>
      </c>
      <c r="BF52" s="60">
        <f>BÖLCSŐDE!BF52+FALUHÁZ!BF52+ÓVODA!BF52+PMH!BF52+ÖNKORMÁNYZAT!BF52</f>
        <v>38525989</v>
      </c>
      <c r="BG52" s="60">
        <f>BÖLCSŐDE!BG52+FALUHÁZ!BG52+ÓVODA!BG52+PMH!BG52+ÖNKORMÁNYZAT!BG52</f>
        <v>42028351.63636364</v>
      </c>
      <c r="BH52" s="60">
        <f>BÖLCSŐDE!BH52+FALUHÁZ!BH52+ÓVODA!BH52+PMH!BH52+ÖNKORMÁNYZAT!BH52</f>
        <v>49078169</v>
      </c>
      <c r="BI52" s="60">
        <f>BÖLCSŐDE!BI52+FALUHÁZ!BI52+ÓVODA!BI52+PMH!BI52+ÖNKORMÁNYZAT!BI52</f>
        <v>49078169</v>
      </c>
      <c r="BJ52" s="60">
        <f>BÖLCSŐDE!BJ52+FALUHÁZ!BJ52+ÓVODA!BJ52+PMH!BJ52+ÖNKORMÁNYZAT!BJ52</f>
        <v>25216188</v>
      </c>
      <c r="BK52" s="60">
        <f>BÖLCSŐDE!BK52+FALUHÁZ!BK52+ÓVODA!BK52+PMH!BK52+ÖNKORMÁNYZAT!BK52</f>
        <v>40158605</v>
      </c>
      <c r="BL52" s="60">
        <f>BÖLCSŐDE!BL52+FALUHÁZ!BL52+ÓVODA!BL52+PMH!BL52+ÖNKORMÁNYZAT!BL52</f>
        <v>49078169</v>
      </c>
      <c r="BM52" s="60">
        <f>BÖLCSŐDE!BM52+FALUHÁZ!BM52+ÓVODA!BM52+PMH!BM52+ÖNKORMÁNYZAT!BM52</f>
        <v>55943594.288400002</v>
      </c>
      <c r="BN52" s="60">
        <f>BÖLCSŐDE!BN52+FALUHÁZ!BN52+ÓVODA!BN52+PMH!BN52+ÖNKORMÁNYZAT!BN52</f>
        <v>56268594.18</v>
      </c>
      <c r="BO52" s="60">
        <f>BÖLCSŐDE!BO52+FALUHÁZ!BO52+ÓVODA!BO52+PMH!BO52+ÖNKORMÁNYZAT!BO52</f>
        <v>44858272</v>
      </c>
      <c r="BP52" s="60">
        <f>BÖLCSŐDE!BP52+FALUHÁZ!BP52+ÓVODA!BP52+PMH!BP52+ÖNKORMÁNYZAT!BP52</f>
        <v>53829926.399999999</v>
      </c>
      <c r="BQ52" s="60">
        <f>BÖLCSŐDE!BQ52+FALUHÁZ!BQ52+ÓVODA!BQ52+PMH!BQ52+ÖNKORMÁNYZAT!BQ52</f>
        <v>59212919.040000014</v>
      </c>
      <c r="BR52" s="60">
        <f>BÖLCSŐDE!BR52+FALUHÁZ!BR52+ÓVODA!BR52+PMH!BR52+ÖNKORMÁNYZAT!BR52</f>
        <v>58846799.920000002</v>
      </c>
      <c r="BS52" s="60">
        <f>BÖLCSŐDE!BS52+FALUHÁZ!BS52+ÓVODA!BS52+PMH!BS52+ÖNKORMÁNYZAT!BS52</f>
        <v>64104860.960000008</v>
      </c>
      <c r="BT52" s="60">
        <f>BÖLCSŐDE!BT52+FALUHÁZ!BT52+ÓVODA!BT52+PMH!BT52+ÖNKORMÁNYZAT!BT52</f>
        <v>64104860.960000008</v>
      </c>
      <c r="BU52" s="60">
        <f>BÖLCSŐDE!BU52+FALUHÁZ!BU52+ÓVODA!BU52+PMH!BU52+ÖNKORMÁNYZAT!BU52</f>
        <v>76819631</v>
      </c>
      <c r="BV52" s="60">
        <f>BÖLCSŐDE!BV52+FALUHÁZ!BV52+ÓVODA!BV52+PMH!BV52+ÖNKORMÁNYZAT!BV52</f>
        <v>78808101</v>
      </c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</row>
    <row r="53" spans="1:92" s="39" customFormat="1" x14ac:dyDescent="0.25">
      <c r="A53" s="54" t="s">
        <v>40</v>
      </c>
      <c r="B53" s="59" t="s">
        <v>149</v>
      </c>
      <c r="C53" s="60">
        <f>BÖLCSŐDE!C53+FALUHÁZ!C53+ÓVODA!C53+PMH!C53+ÖNKORMÁNYZAT!C53</f>
        <v>1584516</v>
      </c>
      <c r="D53" s="60">
        <f>BÖLCSŐDE!D53+FALUHÁZ!D53+ÓVODA!D53+PMH!D53+ÖNKORMÁNYZAT!D53</f>
        <v>1938585.2</v>
      </c>
      <c r="E53" s="60">
        <f>BÖLCSŐDE!E53+FALUHÁZ!E53+ÓVODA!E53+PMH!E53+ÖNKORMÁNYZAT!E53</f>
        <v>1655163</v>
      </c>
      <c r="F53" s="60">
        <f>BÖLCSŐDE!F53+FALUHÁZ!F53+ÓVODA!F53+PMH!F53+ÖNKORMÁNYZAT!F53</f>
        <v>1790059</v>
      </c>
      <c r="G53" s="60">
        <f>BÖLCSŐDE!G53+FALUHÁZ!G53+ÓVODA!G53+PMH!G53+ÖNKORMÁNYZAT!G53</f>
        <v>1655163</v>
      </c>
      <c r="H53" s="60">
        <f>BÖLCSŐDE!H53+FALUHÁZ!H53+ÓVODA!H53+PMH!H53+ÖNKORMÁNYZAT!H53</f>
        <v>1927824</v>
      </c>
      <c r="I53" s="60">
        <f t="shared" si="0"/>
        <v>2103080.7272727271</v>
      </c>
      <c r="J53" s="60">
        <v>934817</v>
      </c>
      <c r="K53" s="60">
        <v>1534817</v>
      </c>
      <c r="L53" s="60">
        <f>BÖLCSŐDE!L53+FALUHÁZ!L53+ÓVODA!L53+PMH!L53+ÖNKORMÁNYZAT!L53</f>
        <v>1534817</v>
      </c>
      <c r="M53" s="38">
        <f t="shared" si="1"/>
        <v>72.979461990997805</v>
      </c>
      <c r="O53" s="60">
        <f>BÖLCSŐDE!O53+FALUHÁZ!N53+ÓVODA!O53+PMH!O53+ÖNKORMÁNYZAT!O53</f>
        <v>1326108</v>
      </c>
      <c r="P53" s="60">
        <f>BÖLCSŐDE!P53+FALUHÁZ!O53+ÓVODA!P53+PMH!P53+ÖNKORMÁNYZAT!P53</f>
        <v>1632901</v>
      </c>
      <c r="Q53" s="60">
        <f>BÖLCSŐDE!Q53+FALUHÁZ!P53+ÓVODA!Q53+PMH!Q53+ÖNKORMÁNYZAT!Q53</f>
        <v>1740084</v>
      </c>
      <c r="R53" s="60">
        <f>BÖLCSŐDE!R53+FALUHÁZ!Q53+ÓVODA!R53+PMH!R53+ÖNKORMÁNYZAT!R53</f>
        <v>1534817</v>
      </c>
      <c r="S53" s="60">
        <f>BÖLCSŐDE!S53+FALUHÁZ!R53+ÓVODA!S53+PMH!S53+ÖNKORMÁNYZAT!S53</f>
        <v>1928682</v>
      </c>
      <c r="T53" s="60">
        <f>BÖLCSŐDE!T53+FALUHÁZ!S53+ÓVODA!T53+PMH!T53+ÖNKORMÁNYZAT!T53</f>
        <v>1928682</v>
      </c>
      <c r="U53" s="60">
        <f>BÖLCSŐDE!U53+FALUHÁZ!T53+ÓVODA!U53+PMH!U53+ÖNKORMÁNYZAT!U53</f>
        <v>1565344</v>
      </c>
      <c r="V53" s="60">
        <f>BÖLCSŐDE!V53+FALUHÁZ!U53+ÓVODA!V53+PMH!V53+ÖNKORMÁNYZAT!V53</f>
        <v>1565344</v>
      </c>
      <c r="W53" s="60">
        <f>BÖLCSŐDE!W53+FALUHÁZ!V53+ÓVODA!W53+PMH!W53+ÖNKORMÁNYZAT!W53</f>
        <v>1565344</v>
      </c>
      <c r="X53" s="123">
        <f t="shared" si="2"/>
        <v>123.21138356808473</v>
      </c>
      <c r="AA53" s="60">
        <f>BÖLCSŐDE!AA53+FALUHÁZ!Z53+ÓVODA!AA53+PMH!AA53+ÖNKORMÁNYZAT!AA53</f>
        <v>1565344</v>
      </c>
      <c r="AB53" s="60">
        <f>BÖLCSŐDE!AB53+FALUHÁZ!AA53+ÓVODA!AB53+PMH!AB53+ÖNKORMÁNYZAT!AB53</f>
        <v>268865</v>
      </c>
      <c r="AC53" s="60">
        <f>BÖLCSŐDE!AB53+FALUHÁZ!AA53+ÓVODA!AB53+PMH!AB53+ÖNKORMÁNYZAT!AB53</f>
        <v>268865</v>
      </c>
      <c r="AD53" s="60">
        <f>BÖLCSŐDE!AC53+FALUHÁZ!AB53+ÓVODA!AC53+PMH!AC53+ÖNKORMÁNYZAT!AC53</f>
        <v>268865</v>
      </c>
      <c r="AE53" s="217">
        <f>BÖLCSŐDE!AE53+FALUHÁZ!AD53+ÓVODA!AE53+PMH!AE53+ÖNKORMÁNYZAT!AD53</f>
        <v>4.753484104073868</v>
      </c>
      <c r="AF53" s="123">
        <f t="shared" si="3"/>
        <v>17.176096755729091</v>
      </c>
      <c r="AG53" s="60">
        <f>BÖLCSŐDE!AG52+FALUHÁZ!AG52+ÓVODA!AG52+PMH!AG52+ÖNKORMÁNYZAT!AG52</f>
        <v>29438128</v>
      </c>
      <c r="AH53" s="55"/>
      <c r="AI53" s="60">
        <f>BÖLCSŐDE!AI53+FALUHÁZ!AJ53+ÓVODA!AI53+PMH!AI53+ÖNKORMÁNYZAT!AI53</f>
        <v>723047.00800000003</v>
      </c>
      <c r="AJ53" s="60"/>
      <c r="AK53" s="60">
        <f>BÖLCSŐDE!AL53+FALUHÁZ!AK53+ÓVODA!AK53+PMH!AK53+ÖNKORMÁNYZAT!AK53</f>
        <v>752271.40800000005</v>
      </c>
      <c r="AL53"/>
      <c r="AM53" s="60">
        <f>BÖLCSŐDE!AM53+FALUHÁZ!AM53+ÓVODA!AM53+PMH!AM53+ÖNKORMÁNYZAT!AM53</f>
        <v>364722</v>
      </c>
      <c r="AN53" s="55">
        <f>BÖLCSŐDE!AN53+FALUHÁZ!AN53+ÓVODA!AP53+PMH!AN53+ÖNKORMÁNYZAT!AP53</f>
        <v>0</v>
      </c>
      <c r="AO53" s="55">
        <f>BÖLCSŐDE!AO53+FALUHÁZ!AO53+ÓVODA!AQ53+PMH!AO53+ÖNKORMÁNYZAT!AQ53</f>
        <v>100908</v>
      </c>
      <c r="AP53" s="55">
        <f>BÖLCSŐDE!AP53+FALUHÁZ!AP53+ÓVODA!AP53+PMH!AP53+ÖNKORMÁNYZAT!AP53</f>
        <v>0</v>
      </c>
      <c r="AQ53" s="55">
        <f>BÖLCSŐDE!AQ53+FALUHÁZ!AQ53+ÓVODA!AQ53+PMH!AQ53+ÖNKORMÁNYZAT!AQ53</f>
        <v>100908</v>
      </c>
      <c r="AR53" s="55">
        <f t="shared" si="4"/>
        <v>-100908</v>
      </c>
      <c r="AS53" s="54"/>
      <c r="AT53" s="60">
        <f>BÖLCSŐDE!AT53+FALUHÁZ!AT53+ÓVODA!AT53+PMH!AT53+ÖNKORMÁNYZAT!AT53</f>
        <v>0</v>
      </c>
      <c r="AU53" s="60"/>
      <c r="AV53" s="59"/>
      <c r="AW53" s="60">
        <f>BÖLCSŐDE!AW53+FALUHÁZ!AW53+ÓVODA!AW53+PMH!AW53+ÖNKORMÁNYZAT!AW53</f>
        <v>0</v>
      </c>
      <c r="AX53" s="60">
        <f>BÖLCSŐDE!AX53+FALUHÁZ!AX53+ÓVODA!AX53+PMH!AX53+ÖNKORMÁNYZAT!AX53</f>
        <v>0</v>
      </c>
      <c r="AY53" s="60">
        <f>BÖLCSŐDE!AY53+FALUHÁZ!AY53+ÓVODA!AY53+PMH!AY53+ÖNKORMÁNYZAT!AY53</f>
        <v>0</v>
      </c>
      <c r="AZ53" s="60">
        <f>BÖLCSŐDE!AZ53+FALUHÁZ!AZ53+ÓVODA!AZ53+PMH!AZ53+ÖNKORMÁNYZAT!AZ53</f>
        <v>0</v>
      </c>
      <c r="BA53" s="60">
        <f>BÖLCSŐDE!BA53+FALUHÁZ!BA53+ÓVODA!BA53+PMH!BA53+ÖNKORMÁNYZAT!BA53</f>
        <v>0</v>
      </c>
      <c r="BB53" s="60">
        <f>BÖLCSŐDE!BB53+FALUHÁZ!BB53+ÓVODA!BB53+PMH!BB53+ÖNKORMÁNYZAT!BB53</f>
        <v>0</v>
      </c>
      <c r="BC53" s="60">
        <f>BÖLCSŐDE!BC53+FALUHÁZ!BC53+ÓVODA!BC53+PMH!BC53+ÖNKORMÁNYZAT!BC53</f>
        <v>0</v>
      </c>
      <c r="BD53" s="60">
        <f>BÖLCSŐDE!BD53+FALUHÁZ!BD53+ÓVODA!BD53+PMH!BD53+ÖNKORMÁNYZAT!BD53</f>
        <v>0</v>
      </c>
      <c r="BE53" s="60">
        <f>BÖLCSŐDE!BE53+FALUHÁZ!BE53+ÓVODA!BE53+PMH!BE53+ÖNKORMÁNYZAT!BE53</f>
        <v>0</v>
      </c>
      <c r="BF53" s="60">
        <f>BÖLCSŐDE!BF53+FALUHÁZ!BF53+ÓVODA!BF53+PMH!BF53+ÖNKORMÁNYZAT!BF53</f>
        <v>0</v>
      </c>
      <c r="BG53" s="60">
        <f>BÖLCSŐDE!BG53+FALUHÁZ!BG53+ÓVODA!BG53+PMH!BG53+ÖNKORMÁNYZAT!BG53</f>
        <v>0</v>
      </c>
      <c r="BH53" s="60">
        <f>BÖLCSŐDE!BH53+FALUHÁZ!BH53+ÓVODA!BH53+PMH!BH53+ÖNKORMÁNYZAT!BH53</f>
        <v>0</v>
      </c>
      <c r="BI53" s="60">
        <f>BÖLCSŐDE!BI53+FALUHÁZ!BI53+ÓVODA!BI53+PMH!BI53+ÖNKORMÁNYZAT!BI53</f>
        <v>0</v>
      </c>
      <c r="BJ53" s="60">
        <f>BÖLCSŐDE!BJ53+FALUHÁZ!BJ53+ÓVODA!BJ53+PMH!BJ53+ÖNKORMÁNYZAT!BJ53</f>
        <v>0</v>
      </c>
      <c r="BK53" s="60">
        <f>BÖLCSŐDE!BK53+FALUHÁZ!BK53+ÓVODA!BK53+PMH!BK53+ÖNKORMÁNYZAT!BK53</f>
        <v>0</v>
      </c>
      <c r="BL53" s="60">
        <f>BÖLCSŐDE!BL53+FALUHÁZ!BL53+ÓVODA!BL53+PMH!BL53+ÖNKORMÁNYZAT!BL53</f>
        <v>0</v>
      </c>
      <c r="BM53" s="60">
        <f>BÖLCSŐDE!BM53+FALUHÁZ!BM53+ÓVODA!BM53+PMH!BM53+ÖNKORMÁNYZAT!BM53</f>
        <v>0</v>
      </c>
      <c r="BN53" s="60">
        <f>BÖLCSŐDE!BN53+FALUHÁZ!BN53+ÓVODA!BN53+PMH!BN53+ÖNKORMÁNYZAT!BN53</f>
        <v>0</v>
      </c>
      <c r="BO53" s="60">
        <f>BÖLCSŐDE!BO53+FALUHÁZ!BO53+ÓVODA!BO53+PMH!BO53+ÖNKORMÁNYZAT!BO53</f>
        <v>0</v>
      </c>
      <c r="BP53" s="60">
        <f>BÖLCSŐDE!BP53+FALUHÁZ!BP53+ÓVODA!BP53+PMH!BP53+ÖNKORMÁNYZAT!BP53</f>
        <v>0</v>
      </c>
      <c r="BQ53" s="60">
        <f>BÖLCSŐDE!BQ53+FALUHÁZ!BQ53+ÓVODA!BQ53+PMH!BQ53+ÖNKORMÁNYZAT!BQ53</f>
        <v>0</v>
      </c>
      <c r="BR53" s="60">
        <f>BÖLCSŐDE!BR53+FALUHÁZ!BR53+ÓVODA!BR53+PMH!BR53+ÖNKORMÁNYZAT!BR53</f>
        <v>0</v>
      </c>
      <c r="BS53" s="60">
        <f>BÖLCSŐDE!BS53+FALUHÁZ!BS53+ÓVODA!BS53+PMH!BS53+ÖNKORMÁNYZAT!BS53</f>
        <v>0</v>
      </c>
      <c r="BT53" s="60">
        <f>BÖLCSŐDE!BT53+FALUHÁZ!BT53+ÓVODA!BT53+PMH!BT53+ÖNKORMÁNYZAT!BT53</f>
        <v>0</v>
      </c>
      <c r="BU53" s="60">
        <f>BÖLCSŐDE!BU53+FALUHÁZ!BU53+ÓVODA!BU53+PMH!BU53+ÖNKORMÁNYZAT!BU53</f>
        <v>0</v>
      </c>
      <c r="BV53" s="60">
        <f>BÖLCSŐDE!BV53+FALUHÁZ!BV53+ÓVODA!BV53+PMH!BV53+ÖNKORMÁNYZAT!BV53</f>
        <v>0</v>
      </c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</row>
    <row r="54" spans="1:92" s="39" customFormat="1" x14ac:dyDescent="0.25">
      <c r="A54" s="54" t="s">
        <v>41</v>
      </c>
      <c r="B54" s="59" t="s">
        <v>150</v>
      </c>
      <c r="C54" s="60">
        <f>BÖLCSŐDE!C54+FALUHÁZ!C54+ÓVODA!C54+PMH!C54+ÖNKORMÁNYZAT!C54</f>
        <v>0</v>
      </c>
      <c r="D54" s="60">
        <f>BÖLCSŐDE!D54+FALUHÁZ!D54+ÓVODA!D54+PMH!D54+ÖNKORMÁNYZAT!D54</f>
        <v>189308</v>
      </c>
      <c r="E54" s="60">
        <f>BÖLCSŐDE!E54+FALUHÁZ!E54+ÓVODA!E54+PMH!E54+ÖNKORMÁNYZAT!E54</f>
        <v>0</v>
      </c>
      <c r="F54" s="60">
        <f>BÖLCSŐDE!F54+FALUHÁZ!F54+ÓVODA!F54+PMH!F54+ÖNKORMÁNYZAT!F54</f>
        <v>931227</v>
      </c>
      <c r="G54" s="60">
        <f>BÖLCSŐDE!G54+FALUHÁZ!G54+ÓVODA!G54+PMH!G54+ÖNKORMÁNYZAT!G54</f>
        <v>0</v>
      </c>
      <c r="H54" s="60">
        <f>BÖLCSŐDE!H54+FALUHÁZ!H54+ÓVODA!H54+PMH!H54+ÖNKORMÁNYZAT!H54</f>
        <v>1219325</v>
      </c>
      <c r="I54" s="60">
        <f t="shared" si="0"/>
        <v>1330172.7272727273</v>
      </c>
      <c r="J54" s="60">
        <v>0</v>
      </c>
      <c r="K54" s="60">
        <v>0</v>
      </c>
      <c r="L54" s="60">
        <f>BÖLCSŐDE!L54+FALUHÁZ!L54+ÓVODA!L54+PMH!L54+ÖNKORMÁNYZAT!L54</f>
        <v>0</v>
      </c>
      <c r="M54" s="38">
        <f t="shared" si="1"/>
        <v>0</v>
      </c>
      <c r="O54" s="60">
        <f>BÖLCSŐDE!O54+FALUHÁZ!N54+ÓVODA!O54+PMH!O54+ÖNKORMÁNYZAT!O54</f>
        <v>0</v>
      </c>
      <c r="P54" s="60">
        <f>BÖLCSŐDE!P54+FALUHÁZ!O54+ÓVODA!P54+PMH!P54+ÖNKORMÁNYZAT!P54</f>
        <v>3165209</v>
      </c>
      <c r="Q54" s="60">
        <f>BÖLCSŐDE!Q54+FALUHÁZ!P54+ÓVODA!Q54+PMH!Q54+ÖNKORMÁNYZAT!Q54</f>
        <v>3862812</v>
      </c>
      <c r="R54" s="60">
        <f>BÖLCSŐDE!R54+FALUHÁZ!Q54+ÓVODA!R54+PMH!R54+ÖNKORMÁNYZAT!R54</f>
        <v>0</v>
      </c>
      <c r="S54" s="60">
        <f>BÖLCSŐDE!S54+FALUHÁZ!R54+ÓVODA!S54+PMH!S54+ÖNKORMÁNYZAT!S54</f>
        <v>2144827</v>
      </c>
      <c r="T54" s="60">
        <f>BÖLCSŐDE!T54+FALUHÁZ!S54+ÓVODA!T54+PMH!T54+ÖNKORMÁNYZAT!T54</f>
        <v>2144827</v>
      </c>
      <c r="U54" s="60">
        <f>BÖLCSŐDE!U54+FALUHÁZ!T54+ÓVODA!U54+PMH!U54+ÖNKORMÁNYZAT!U54</f>
        <v>0</v>
      </c>
      <c r="V54" s="60">
        <f>BÖLCSŐDE!V54+FALUHÁZ!U54+ÓVODA!V54+PMH!V54+ÖNKORMÁNYZAT!V54</f>
        <v>0</v>
      </c>
      <c r="W54" s="60">
        <f>BÖLCSŐDE!W54+FALUHÁZ!V54+ÓVODA!W54+PMH!W54+ÖNKORMÁNYZAT!W54</f>
        <v>0</v>
      </c>
      <c r="X54" s="123"/>
      <c r="AA54" s="60">
        <f>BÖLCSŐDE!AA54+FALUHÁZ!Z54+ÓVODA!AA54+PMH!AA54+ÖNKORMÁNYZAT!AA54</f>
        <v>0</v>
      </c>
      <c r="AB54" s="60">
        <f>BÖLCSŐDE!AB54+FALUHÁZ!AA54+ÓVODA!AB54+PMH!AB54+ÖNKORMÁNYZAT!AB54</f>
        <v>161189</v>
      </c>
      <c r="AC54" s="60">
        <f>BÖLCSŐDE!AB54+FALUHÁZ!AA54+ÓVODA!AB54+PMH!AB54+ÖNKORMÁNYZAT!AB54</f>
        <v>161189</v>
      </c>
      <c r="AD54" s="60">
        <f>BÖLCSŐDE!AC54+FALUHÁZ!AB54+ÓVODA!AC54+PMH!AC54+ÖNKORMÁNYZAT!AC54</f>
        <v>161189</v>
      </c>
      <c r="AE54" s="217">
        <f>BÖLCSŐDE!AE54+FALUHÁZ!AD54+ÓVODA!AE54+PMH!AE54+ÖNKORMÁNYZAT!AD54</f>
        <v>0</v>
      </c>
      <c r="AF54" s="123"/>
      <c r="AG54" s="60">
        <f>BÖLCSŐDE!AG53+FALUHÁZ!AG53+ÓVODA!AG53+PMH!AG53+ÖNKORMÁNYZAT!AG53</f>
        <v>247506</v>
      </c>
      <c r="AH54" s="55"/>
      <c r="AI54" s="60">
        <f>BÖLCSŐDE!AI54+FALUHÁZ!AJ54+ÓVODA!AI54+PMH!AI54+ÖNKORMÁNYZAT!AI54</f>
        <v>265736.52</v>
      </c>
      <c r="AJ54" s="60"/>
      <c r="AK54" s="60">
        <f>BÖLCSŐDE!AL54+FALUHÁZ!AK54+ÓVODA!AK54+PMH!AK54+ÖNKORMÁNYZAT!AK54</f>
        <v>19841.04</v>
      </c>
      <c r="AL54"/>
      <c r="AM54" s="60">
        <f>BÖLCSŐDE!AM54+FALUHÁZ!AM54+ÓVODA!AM54+PMH!AM54+ÖNKORMÁNYZAT!AM54</f>
        <v>222448</v>
      </c>
      <c r="AN54" s="55">
        <f>BÖLCSŐDE!AN54+FALUHÁZ!AN54+ÓVODA!AP54+PMH!AN54+ÖNKORMÁNYZAT!AP54</f>
        <v>0</v>
      </c>
      <c r="AO54" s="55">
        <f>BÖLCSŐDE!AO54+FALUHÁZ!AO54+ÓVODA!AQ54+PMH!AO54+ÖNKORMÁNYZAT!AQ54</f>
        <v>48171</v>
      </c>
      <c r="AP54" s="55">
        <f>BÖLCSŐDE!AP54+FALUHÁZ!AP54+ÓVODA!AP54+PMH!AP54+ÖNKORMÁNYZAT!AP54</f>
        <v>0</v>
      </c>
      <c r="AQ54" s="55">
        <f>BÖLCSŐDE!AQ54+FALUHÁZ!AQ54+ÓVODA!AQ54+PMH!AQ54+ÖNKORMÁNYZAT!AQ54</f>
        <v>48171</v>
      </c>
      <c r="AR54" s="55">
        <f t="shared" si="4"/>
        <v>-48171</v>
      </c>
      <c r="AS54" s="54"/>
      <c r="AT54" s="60">
        <f>BÖLCSŐDE!AT54+FALUHÁZ!AT54+ÓVODA!AT54+PMH!AT54+ÖNKORMÁNYZAT!AT54</f>
        <v>0</v>
      </c>
      <c r="AU54" s="60"/>
      <c r="AV54" s="59"/>
      <c r="AW54" s="60">
        <f>BÖLCSŐDE!AW54+FALUHÁZ!AW54+ÓVODA!AW54+PMH!AW54+ÖNKORMÁNYZAT!AW54</f>
        <v>0</v>
      </c>
      <c r="AX54" s="60">
        <f>BÖLCSŐDE!AX54+FALUHÁZ!AX54+ÓVODA!AX54+PMH!AX54+ÖNKORMÁNYZAT!AX54</f>
        <v>0</v>
      </c>
      <c r="AY54" s="60">
        <f>BÖLCSŐDE!AY54+FALUHÁZ!AY54+ÓVODA!AY54+PMH!AY54+ÖNKORMÁNYZAT!AY54</f>
        <v>0</v>
      </c>
      <c r="AZ54" s="60">
        <f>BÖLCSŐDE!AZ54+FALUHÁZ!AZ54+ÓVODA!AZ54+PMH!AZ54+ÖNKORMÁNYZAT!AZ54</f>
        <v>0</v>
      </c>
      <c r="BA54" s="60">
        <f>BÖLCSŐDE!BA54+FALUHÁZ!BA54+ÓVODA!BA54+PMH!BA54+ÖNKORMÁNYZAT!BA54</f>
        <v>0</v>
      </c>
      <c r="BB54" s="60">
        <f>BÖLCSŐDE!BB54+FALUHÁZ!BB54+ÓVODA!BB54+PMH!BB54+ÖNKORMÁNYZAT!BB54</f>
        <v>0</v>
      </c>
      <c r="BC54" s="60">
        <f>BÖLCSŐDE!BC54+FALUHÁZ!BC54+ÓVODA!BC54+PMH!BC54+ÖNKORMÁNYZAT!BC54</f>
        <v>0</v>
      </c>
      <c r="BD54" s="60">
        <f>BÖLCSŐDE!BD54+FALUHÁZ!BD54+ÓVODA!BD54+PMH!BD54+ÖNKORMÁNYZAT!BD54</f>
        <v>0</v>
      </c>
      <c r="BE54" s="60">
        <f>BÖLCSŐDE!BE54+FALUHÁZ!BE54+ÓVODA!BE54+PMH!BE54+ÖNKORMÁNYZAT!BE54</f>
        <v>0</v>
      </c>
      <c r="BF54" s="60">
        <f>BÖLCSŐDE!BF54+FALUHÁZ!BF54+ÓVODA!BF54+PMH!BF54+ÖNKORMÁNYZAT!BF54</f>
        <v>0</v>
      </c>
      <c r="BG54" s="60">
        <f>BÖLCSŐDE!BG54+FALUHÁZ!BG54+ÓVODA!BG54+PMH!BG54+ÖNKORMÁNYZAT!BG54</f>
        <v>0</v>
      </c>
      <c r="BH54" s="60">
        <f>BÖLCSŐDE!BH54+FALUHÁZ!BH54+ÓVODA!BH54+PMH!BH54+ÖNKORMÁNYZAT!BH54</f>
        <v>0</v>
      </c>
      <c r="BI54" s="60">
        <f>BÖLCSŐDE!BI54+FALUHÁZ!BI54+ÓVODA!BI54+PMH!BI54+ÖNKORMÁNYZAT!BI54</f>
        <v>0</v>
      </c>
      <c r="BJ54" s="60">
        <f>BÖLCSŐDE!BJ54+FALUHÁZ!BJ54+ÓVODA!BJ54+PMH!BJ54+ÖNKORMÁNYZAT!BJ54</f>
        <v>0</v>
      </c>
      <c r="BK54" s="60">
        <f>BÖLCSŐDE!BK54+FALUHÁZ!BK54+ÓVODA!BK54+PMH!BK54+ÖNKORMÁNYZAT!BK54</f>
        <v>0</v>
      </c>
      <c r="BL54" s="60">
        <f>BÖLCSŐDE!BL54+FALUHÁZ!BL54+ÓVODA!BL54+PMH!BL54+ÖNKORMÁNYZAT!BL54</f>
        <v>0</v>
      </c>
      <c r="BM54" s="60">
        <f>BÖLCSŐDE!BM54+FALUHÁZ!BM54+ÓVODA!BM54+PMH!BM54+ÖNKORMÁNYZAT!BM54</f>
        <v>0</v>
      </c>
      <c r="BN54" s="60">
        <f>BÖLCSŐDE!BN54+FALUHÁZ!BN54+ÓVODA!BN54+PMH!BN54+ÖNKORMÁNYZAT!BN54</f>
        <v>0</v>
      </c>
      <c r="BO54" s="60">
        <f>BÖLCSŐDE!BO54+FALUHÁZ!BO54+ÓVODA!BO54+PMH!BO54+ÖNKORMÁNYZAT!BO54</f>
        <v>0</v>
      </c>
      <c r="BP54" s="60">
        <f>BÖLCSŐDE!BP54+FALUHÁZ!BP54+ÓVODA!BP54+PMH!BP54+ÖNKORMÁNYZAT!BP54</f>
        <v>0</v>
      </c>
      <c r="BQ54" s="60">
        <f>BÖLCSŐDE!BQ54+FALUHÁZ!BQ54+ÓVODA!BQ54+PMH!BQ54+ÖNKORMÁNYZAT!BQ54</f>
        <v>0</v>
      </c>
      <c r="BR54" s="60">
        <f>BÖLCSŐDE!BR54+FALUHÁZ!BR54+ÓVODA!BR54+PMH!BR54+ÖNKORMÁNYZAT!BR54</f>
        <v>0</v>
      </c>
      <c r="BS54" s="60">
        <f>BÖLCSŐDE!BS54+FALUHÁZ!BS54+ÓVODA!BS54+PMH!BS54+ÖNKORMÁNYZAT!BS54</f>
        <v>0</v>
      </c>
      <c r="BT54" s="60">
        <f>BÖLCSŐDE!BT54+FALUHÁZ!BT54+ÓVODA!BT54+PMH!BT54+ÖNKORMÁNYZAT!BT54</f>
        <v>0</v>
      </c>
      <c r="BU54" s="60">
        <f>BÖLCSŐDE!BU54+FALUHÁZ!BU54+ÓVODA!BU54+PMH!BU54+ÖNKORMÁNYZAT!BU54</f>
        <v>0</v>
      </c>
      <c r="BV54" s="60">
        <f>BÖLCSŐDE!BV54+FALUHÁZ!BV54+ÓVODA!BV54+PMH!BV54+ÖNKORMÁNYZAT!BV54</f>
        <v>0</v>
      </c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</row>
    <row r="55" spans="1:92" s="39" customFormat="1" x14ac:dyDescent="0.25">
      <c r="A55" s="54" t="s">
        <v>42</v>
      </c>
      <c r="B55" s="59" t="s">
        <v>151</v>
      </c>
      <c r="C55" s="60">
        <f>BÖLCSŐDE!C55+FALUHÁZ!C55+ÓVODA!C55+PMH!C55+ÖNKORMÁNYZAT!C55</f>
        <v>1837539</v>
      </c>
      <c r="D55" s="60">
        <f>BÖLCSŐDE!D55+FALUHÁZ!D55+ÓVODA!D55+PMH!D55+ÖNKORMÁNYZAT!D55</f>
        <v>1304378.8</v>
      </c>
      <c r="E55" s="60">
        <f>BÖLCSŐDE!E55+FALUHÁZ!E55+ÓVODA!E55+PMH!E55+ÖNKORMÁNYZAT!E55</f>
        <v>1848550</v>
      </c>
      <c r="F55" s="60">
        <f>BÖLCSŐDE!F55+FALUHÁZ!F55+ÓVODA!F55+PMH!F55+ÖNKORMÁNYZAT!F55</f>
        <v>1611576</v>
      </c>
      <c r="G55" s="60">
        <f>BÖLCSŐDE!G55+FALUHÁZ!G55+ÓVODA!G55+PMH!G55+ÖNKORMÁNYZAT!G55</f>
        <v>1848550</v>
      </c>
      <c r="H55" s="60">
        <f>BÖLCSŐDE!H55+FALUHÁZ!H55+ÓVODA!H55+PMH!H55+ÖNKORMÁNYZAT!H55</f>
        <v>1736445</v>
      </c>
      <c r="I55" s="60">
        <f t="shared" si="0"/>
        <v>1894303.6363636362</v>
      </c>
      <c r="J55" s="60">
        <v>1018277</v>
      </c>
      <c r="K55" s="60">
        <v>1718277</v>
      </c>
      <c r="L55" s="60">
        <f>BÖLCSŐDE!L55+FALUHÁZ!L55+ÓVODA!L55+PMH!L55+ÖNKORMÁNYZAT!L55</f>
        <v>1718277</v>
      </c>
      <c r="M55" s="38">
        <f t="shared" si="1"/>
        <v>90.707580718076315</v>
      </c>
      <c r="O55" s="60">
        <f>BÖLCSŐDE!O55+FALUHÁZ!N55+ÓVODA!O55+PMH!O55+ÖNKORMÁNYZAT!O55</f>
        <v>1479750</v>
      </c>
      <c r="P55" s="60">
        <f>BÖLCSŐDE!P55+FALUHÁZ!O55+ÓVODA!P55+PMH!P55+ÖNKORMÁNYZAT!P55</f>
        <v>1477402</v>
      </c>
      <c r="Q55" s="60">
        <f>BÖLCSŐDE!Q55+FALUHÁZ!P55+ÓVODA!Q55+PMH!Q55+ÖNKORMÁNYZAT!Q55</f>
        <v>1567117</v>
      </c>
      <c r="R55" s="60">
        <f>BÖLCSŐDE!R55+FALUHÁZ!Q55+ÓVODA!R55+PMH!R55+ÖNKORMÁNYZAT!R55</f>
        <v>1718277</v>
      </c>
      <c r="S55" s="60">
        <f>BÖLCSŐDE!S55+FALUHÁZ!R55+ÓVODA!S55+PMH!S55+ÖNKORMÁNYZAT!S55</f>
        <v>1711173</v>
      </c>
      <c r="T55" s="60">
        <f>BÖLCSŐDE!T55+FALUHÁZ!S55+ÓVODA!T55+PMH!T55+ÖNKORMÁNYZAT!T55</f>
        <v>1711173</v>
      </c>
      <c r="U55" s="60">
        <f>BÖLCSŐDE!U55+FALUHÁZ!T55+ÓVODA!U55+PMH!U55+ÖNKORMÁNYZAT!U55</f>
        <v>1683937.5</v>
      </c>
      <c r="V55" s="60">
        <f>BÖLCSŐDE!V55+FALUHÁZ!U55+ÓVODA!V55+PMH!V55+ÖNKORMÁNYZAT!V55</f>
        <v>1683937.5</v>
      </c>
      <c r="W55" s="60">
        <f>BÖLCSŐDE!W55+FALUHÁZ!V55+ÓVODA!W55+PMH!W55+ÖNKORMÁNYZAT!W55</f>
        <v>1683937.5</v>
      </c>
      <c r="X55" s="123">
        <f t="shared" si="2"/>
        <v>101.6173700033404</v>
      </c>
      <c r="AA55" s="60">
        <f>BÖLCSŐDE!AA55+FALUHÁZ!Z55+ÓVODA!AA55+PMH!AA55+ÖNKORMÁNYZAT!AA55</f>
        <v>1683937.5</v>
      </c>
      <c r="AB55" s="60">
        <f>BÖLCSŐDE!AB55+FALUHÁZ!AA55+ÓVODA!AB55+PMH!AB55+ÖNKORMÁNYZAT!AB55</f>
        <v>1215306</v>
      </c>
      <c r="AC55" s="60">
        <f>BÖLCSŐDE!AB55+FALUHÁZ!AA55+ÓVODA!AB55+PMH!AB55+ÖNKORMÁNYZAT!AB55</f>
        <v>1215306</v>
      </c>
      <c r="AD55" s="60">
        <f>BÖLCSŐDE!AC55+FALUHÁZ!AB55+ÓVODA!AC55+PMH!AC55+ÖNKORMÁNYZAT!AC55</f>
        <v>1229636</v>
      </c>
      <c r="AE55" s="217">
        <f>BÖLCSŐDE!AE55+FALUHÁZ!AD55+ÓVODA!AE55+PMH!AE55+ÖNKORMÁNYZAT!AD55</f>
        <v>82.011708948982431</v>
      </c>
      <c r="AF55" s="123">
        <f t="shared" si="3"/>
        <v>73.021474965668261</v>
      </c>
      <c r="AG55" s="60">
        <f>BÖLCSŐDE!AG54+FALUHÁZ!AG54+ÓVODA!AG54+PMH!AG54+ÖNKORMÁNYZAT!AG54</f>
        <v>217105</v>
      </c>
      <c r="AH55" s="55"/>
      <c r="AI55" s="60">
        <f>BÖLCSŐDE!AI55+FALUHÁZ!AJ55+ÓVODA!AI55+PMH!AI55+ÖNKORMÁNYZAT!AI55</f>
        <v>1377580.5919999999</v>
      </c>
      <c r="AJ55" s="60"/>
      <c r="AK55" s="60">
        <f>BÖLCSŐDE!AL55+FALUHÁZ!AK55+ÓVODA!AK55+PMH!AK55+ÖNKORMÁNYZAT!AK55</f>
        <v>1308399.5520000001</v>
      </c>
      <c r="AL55"/>
      <c r="AM55" s="60">
        <f>BÖLCSŐDE!AM55+FALUHÁZ!AM55+ÓVODA!AM55+PMH!AM55+ÖNKORMÁNYZAT!AM55</f>
        <v>1269728</v>
      </c>
      <c r="AN55" s="55">
        <f>BÖLCSŐDE!AN55+FALUHÁZ!AN55+ÓVODA!AP55+PMH!AN55+ÖNKORMÁNYZAT!AP55</f>
        <v>0</v>
      </c>
      <c r="AO55" s="55">
        <f>BÖLCSŐDE!AO55+FALUHÁZ!AO55+ÓVODA!AQ55+PMH!AO55+ÖNKORMÁNYZAT!AQ55</f>
        <v>657585</v>
      </c>
      <c r="AP55" s="55">
        <f>BÖLCSŐDE!AP55+FALUHÁZ!AP55+ÓVODA!AP55+PMH!AP55+ÖNKORMÁNYZAT!AP55</f>
        <v>0</v>
      </c>
      <c r="AQ55" s="55">
        <f>BÖLCSŐDE!AQ55+FALUHÁZ!AQ55+ÓVODA!AQ55+PMH!AQ55+ÖNKORMÁNYZAT!AQ55</f>
        <v>657585</v>
      </c>
      <c r="AR55" s="55">
        <f t="shared" si="4"/>
        <v>-657585</v>
      </c>
      <c r="AS55" s="54"/>
      <c r="AT55" s="60">
        <f>BÖLCSŐDE!AT55+FALUHÁZ!AT55+ÓVODA!AT55+PMH!AT55+ÖNKORMÁNYZAT!AT55</f>
        <v>262203</v>
      </c>
      <c r="AU55" s="60">
        <v>0</v>
      </c>
      <c r="AV55" s="59"/>
      <c r="AW55" s="60">
        <f>BÖLCSŐDE!AW55+FALUHÁZ!AW55+ÓVODA!AW55+PMH!AW55+ÖNKORMÁNYZAT!AW55</f>
        <v>0</v>
      </c>
      <c r="AX55" s="60">
        <f>BÖLCSŐDE!AX55+FALUHÁZ!AX55+ÓVODA!AX55+PMH!AX55+ÖNKORMÁNYZAT!AX55</f>
        <v>0</v>
      </c>
      <c r="AY55" s="60">
        <f>BÖLCSŐDE!AY55+FALUHÁZ!AY55+ÓVODA!AY55+PMH!AY55+ÖNKORMÁNYZAT!AY55</f>
        <v>0</v>
      </c>
      <c r="AZ55" s="60">
        <f>BÖLCSŐDE!AZ55+FALUHÁZ!AZ55+ÓVODA!AZ55+PMH!AZ55+ÖNKORMÁNYZAT!AZ55</f>
        <v>0</v>
      </c>
      <c r="BA55" s="60">
        <f>BÖLCSŐDE!BA55+FALUHÁZ!BA55+ÓVODA!BA55+PMH!BA55+ÖNKORMÁNYZAT!BA55</f>
        <v>0</v>
      </c>
      <c r="BB55" s="511"/>
      <c r="BC55" s="511"/>
      <c r="BD55" s="511"/>
      <c r="BE55" s="511"/>
      <c r="BF55" s="60">
        <f>BÖLCSŐDE!BF55+FALUHÁZ!BF55+ÓVODA!BF55+PMH!BF55+ÖNKORMÁNYZAT!BF55</f>
        <v>0</v>
      </c>
      <c r="BG55" s="60">
        <f>BÖLCSŐDE!BG55+FALUHÁZ!BG55+ÓVODA!BG55+PMH!BG55+ÖNKORMÁNYZAT!BG55</f>
        <v>0</v>
      </c>
      <c r="BH55" s="60">
        <f>BÖLCSŐDE!BH55+FALUHÁZ!BH55+ÓVODA!BH55+PMH!BH55+ÖNKORMÁNYZAT!BH55</f>
        <v>0</v>
      </c>
      <c r="BI55" s="60">
        <f>BÖLCSŐDE!BI55+FALUHÁZ!BI55+ÓVODA!BI55+PMH!BI55+ÖNKORMÁNYZAT!BI55</f>
        <v>0</v>
      </c>
      <c r="BJ55" s="60">
        <f>BÖLCSŐDE!BJ55+FALUHÁZ!BJ55+ÓVODA!BJ55+PMH!BJ55+ÖNKORMÁNYZAT!BJ55</f>
        <v>0</v>
      </c>
      <c r="BK55" s="60">
        <f>BÖLCSŐDE!BK55+FALUHÁZ!BK55+ÓVODA!BK55+PMH!BK55+ÖNKORMÁNYZAT!BK55</f>
        <v>0</v>
      </c>
      <c r="BL55" s="60">
        <f>BÖLCSŐDE!BL55+FALUHÁZ!BL55+ÓVODA!BL55+PMH!BL55+ÖNKORMÁNYZAT!BL55</f>
        <v>0</v>
      </c>
      <c r="BM55" s="60">
        <f>BÖLCSŐDE!BM55+FALUHÁZ!BM55+ÓVODA!BM55+PMH!BM55+ÖNKORMÁNYZAT!BM55</f>
        <v>0</v>
      </c>
      <c r="BN55" s="60">
        <f>BÖLCSŐDE!BN55+FALUHÁZ!BN55+ÓVODA!BN55+PMH!BN55+ÖNKORMÁNYZAT!BN55</f>
        <v>0</v>
      </c>
      <c r="BO55" s="60">
        <f>BÖLCSŐDE!BO55+FALUHÁZ!BO55+ÓVODA!BO55+PMH!BO55+ÖNKORMÁNYZAT!BO55</f>
        <v>0</v>
      </c>
      <c r="BP55" s="60">
        <f>BÖLCSŐDE!BP55+FALUHÁZ!BP55+ÓVODA!BP55+PMH!BP55+ÖNKORMÁNYZAT!BP55</f>
        <v>0</v>
      </c>
      <c r="BQ55" s="60">
        <f>BÖLCSŐDE!BQ55+FALUHÁZ!BQ55+ÓVODA!BQ55+PMH!BQ55+ÖNKORMÁNYZAT!BQ55</f>
        <v>0</v>
      </c>
      <c r="BR55" s="60">
        <f>BÖLCSŐDE!BR55+FALUHÁZ!BR55+ÓVODA!BR55+PMH!BR55+ÖNKORMÁNYZAT!BR55</f>
        <v>0</v>
      </c>
      <c r="BS55" s="60">
        <f>BÖLCSŐDE!BS55+FALUHÁZ!BS55+ÓVODA!BS55+PMH!BS55+ÖNKORMÁNYZAT!BS55</f>
        <v>0</v>
      </c>
      <c r="BT55" s="60">
        <f>BÖLCSŐDE!BT55+FALUHÁZ!BT55+ÓVODA!BT55+PMH!BT55+ÖNKORMÁNYZAT!BT55</f>
        <v>0</v>
      </c>
      <c r="BU55" s="60">
        <f>BÖLCSŐDE!BU55+FALUHÁZ!BU55+ÓVODA!BU55+PMH!BU55+ÖNKORMÁNYZAT!BU55</f>
        <v>0</v>
      </c>
      <c r="BV55" s="60">
        <f>BÖLCSŐDE!BV55+FALUHÁZ!BV55+ÓVODA!BV55+PMH!BV55+ÖNKORMÁNYZAT!BV55</f>
        <v>0</v>
      </c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</row>
    <row r="56" spans="1:92" x14ac:dyDescent="0.25">
      <c r="A56" s="54" t="s">
        <v>139</v>
      </c>
      <c r="B56" s="55" t="s">
        <v>230</v>
      </c>
      <c r="C56" s="55">
        <f>BÖLCSŐDE!C56+FALUHÁZ!C56+ÓVODA!C56+PMH!C56+ÖNKORMÁNYZAT!C56</f>
        <v>2591273</v>
      </c>
      <c r="D56" s="55">
        <f>BÖLCSŐDE!D56+FALUHÁZ!D56+ÓVODA!D56+PMH!D56+ÖNKORMÁNYZAT!D56</f>
        <v>2856179</v>
      </c>
      <c r="E56" s="55">
        <f>BÖLCSŐDE!E56+FALUHÁZ!E56+ÓVODA!E56+PMH!E56+ÖNKORMÁNYZAT!E56</f>
        <v>2551170</v>
      </c>
      <c r="F56" s="55">
        <f>BÖLCSŐDE!F56+FALUHÁZ!F56+ÓVODA!F56+PMH!F56+ÖNKORMÁNYZAT!F56</f>
        <v>974370</v>
      </c>
      <c r="G56" s="55">
        <f>BÖLCSŐDE!G56+FALUHÁZ!G56+ÓVODA!G56+PMH!G56+ÖNKORMÁNYZAT!G56</f>
        <v>1415945</v>
      </c>
      <c r="H56" s="55">
        <f>BÖLCSŐDE!H56+FALUHÁZ!H56+ÓVODA!H56+PMH!H56+ÖNKORMÁNYZAT!H56</f>
        <v>1047595</v>
      </c>
      <c r="I56" s="55">
        <f t="shared" si="0"/>
        <v>1142830.9090909092</v>
      </c>
      <c r="J56" s="55">
        <v>3988000</v>
      </c>
      <c r="K56" s="55">
        <v>2603000</v>
      </c>
      <c r="L56" s="55">
        <f>BÖLCSŐDE!L56+FALUHÁZ!L56+ÓVODA!L56+PMH!L56+ÖNKORMÁNYZAT!L56</f>
        <v>2603000</v>
      </c>
      <c r="M56" s="1">
        <f t="shared" si="1"/>
        <v>227.76772830467246</v>
      </c>
      <c r="O56" s="55">
        <f>BÖLCSŐDE!O56+FALUHÁZ!N56+ÓVODA!O56+PMH!O56+ÖNKORMÁNYZAT!O56</f>
        <v>2673000</v>
      </c>
      <c r="P56" s="55">
        <f>BÖLCSŐDE!P56+FALUHÁZ!O56+ÓVODA!P56+PMH!P56+ÖNKORMÁNYZAT!P56</f>
        <v>1558112</v>
      </c>
      <c r="Q56" s="55">
        <f>BÖLCSŐDE!Q56+FALUHÁZ!P56+ÓVODA!Q56+PMH!Q56+ÖNKORMÁNYZAT!Q56</f>
        <v>1600522</v>
      </c>
      <c r="R56" s="55">
        <f>BÖLCSŐDE!R56+FALUHÁZ!Q56+ÓVODA!R56+PMH!R56+ÖNKORMÁNYZAT!R56</f>
        <v>3353000</v>
      </c>
      <c r="S56" s="55">
        <f>BÖLCSŐDE!S56+FALUHÁZ!R56+ÓVODA!S56+PMH!S56+ÖNKORMÁNYZAT!S56</f>
        <v>2855000</v>
      </c>
      <c r="T56" s="55">
        <f>BÖLCSŐDE!T56+FALUHÁZ!S56+ÓVODA!T56+PMH!T56+ÖNKORMÁNYZAT!T56</f>
        <v>2210897</v>
      </c>
      <c r="U56" s="55">
        <f>BÖLCSŐDE!U56+FALUHÁZ!T56+ÓVODA!U56+PMH!U56+ÖNKORMÁNYZAT!U56</f>
        <v>3553000</v>
      </c>
      <c r="V56" s="55">
        <f>BÖLCSŐDE!V56+FALUHÁZ!U56+ÓVODA!V56+PMH!V56+ÖNKORMÁNYZAT!V56</f>
        <v>3553000</v>
      </c>
      <c r="W56" s="55">
        <f>BÖLCSŐDE!W56+FALUHÁZ!V56+ÓVODA!W56+PMH!W56+ÖNKORMÁNYZAT!W56</f>
        <v>3553000</v>
      </c>
      <c r="X56" s="122">
        <f t="shared" si="2"/>
        <v>62.22620320855615</v>
      </c>
      <c r="AA56" s="55">
        <f>BÖLCSŐDE!AA56+FALUHÁZ!Z56+ÓVODA!AA56+PMH!AA56+ÖNKORMÁNYZAT!AA56</f>
        <v>3553000</v>
      </c>
      <c r="AB56" s="55">
        <f>BÖLCSŐDE!AB56+FALUHÁZ!AA56+ÓVODA!AB56+PMH!AB56+ÖNKORMÁNYZAT!AB56</f>
        <v>1119927</v>
      </c>
      <c r="AC56" s="55">
        <f>BÖLCSŐDE!AB56+FALUHÁZ!AA56+ÓVODA!AB56+PMH!AB56+ÖNKORMÁNYZAT!AB56</f>
        <v>1119927</v>
      </c>
      <c r="AD56" s="55">
        <f>BÖLCSŐDE!AC56+FALUHÁZ!AB56+ÓVODA!AC56+PMH!AC56+ÖNKORMÁNYZAT!AC56</f>
        <v>1883804</v>
      </c>
      <c r="AE56" s="223">
        <f>BÖLCSŐDE!AE56+FALUHÁZ!AD56+ÓVODA!AE56+PMH!AE56+ÖNKORMÁNYZAT!AD56</f>
        <v>250346.36350089731</v>
      </c>
      <c r="AF56" s="122">
        <f t="shared" si="3"/>
        <v>53.020095693779901</v>
      </c>
      <c r="AG56" s="55">
        <f>BÖLCSŐDE!AG55+FALUHÁZ!AG55+ÓVODA!AG55+PMH!AG55+ÖNKORMÁNYZAT!AG55</f>
        <v>1244251</v>
      </c>
      <c r="AH56" s="55"/>
      <c r="AI56" s="55">
        <f>BÖLCSŐDE!AI56+FALUHÁZ!AJ56+ÓVODA!AI56+PMH!AI56+ÖNKORMÁNYZAT!AI56</f>
        <v>6798200.1520000007</v>
      </c>
      <c r="AJ56" s="55"/>
      <c r="AK56" s="55">
        <f>BÖLCSŐDE!AL56+FALUHÁZ!AK56+ÓVODA!AK56+PMH!AK56+ÖNKORMÁNYZAT!AK56</f>
        <v>6798200.1520000007</v>
      </c>
      <c r="AM56" s="55">
        <f>BÖLCSŐDE!AM56+FALUHÁZ!AM56+ÓVODA!AM56+PMH!AM56+ÖNKORMÁNYZAT!AM56</f>
        <v>3179205</v>
      </c>
      <c r="AN56" s="55">
        <f>BÖLCSŐDE!AN56+FALUHÁZ!AN56+ÓVODA!AP56+PMH!AN56+ÖNKORMÁNYZAT!AP56</f>
        <v>3353165</v>
      </c>
      <c r="AO56" s="55">
        <f>BÖLCSŐDE!AO56+FALUHÁZ!AO56+ÓVODA!AQ56+PMH!AO56+ÖNKORMÁNYZAT!AQ56</f>
        <v>2459971</v>
      </c>
      <c r="AP56" s="55">
        <f>BÖLCSŐDE!AP56+FALUHÁZ!AP56+ÓVODA!AP56+PMH!AP56+ÖNKORMÁNYZAT!AP56</f>
        <v>4153165</v>
      </c>
      <c r="AQ56" s="55">
        <f>BÖLCSŐDE!AQ56+FALUHÁZ!AQ56+ÓVODA!AQ56+PMH!AQ56+ÖNKORMÁNYZAT!AQ56</f>
        <v>2644191</v>
      </c>
      <c r="AR56" s="55">
        <f t="shared" si="4"/>
        <v>1508974</v>
      </c>
      <c r="AS56" s="54">
        <f t="shared" si="5"/>
        <v>63.666890190974833</v>
      </c>
      <c r="AT56" s="55">
        <f>BÖLCSŐDE!AT56+FALUHÁZ!AT56+ÓVODA!AT56+PMH!AT56+ÖNKORMÁNYZAT!AT56</f>
        <v>2927003</v>
      </c>
      <c r="AU56" s="55">
        <f t="shared" si="6"/>
        <v>1226162</v>
      </c>
      <c r="AV56" s="54">
        <f t="shared" si="7"/>
        <v>29.523556131287826</v>
      </c>
      <c r="AW56" s="55">
        <f>BÖLCSŐDE!AW56+FALUHÁZ!AW56+ÓVODA!AW56+PMH!AW56+ÖNKORMÁNYZAT!AW56</f>
        <v>4298200</v>
      </c>
      <c r="AX56" s="55">
        <f>BÖLCSŐDE!AX56+FALUHÁZ!AX56+ÓVODA!AX56+PMH!AX56+ÖNKORMÁNYZAT!AX56</f>
        <v>4398200</v>
      </c>
      <c r="AY56" s="55">
        <f>BÖLCSŐDE!AY56+FALUHÁZ!AY56+ÓVODA!AY56+PMH!AY56+ÖNKORMÁNYZAT!AY56</f>
        <v>4398200</v>
      </c>
      <c r="AZ56" s="55">
        <f>BÖLCSŐDE!AZ56+FALUHÁZ!AZ56+ÓVODA!AZ56+PMH!AZ56+ÖNKORMÁNYZAT!AZ56</f>
        <v>4398200</v>
      </c>
      <c r="BA56" s="55">
        <f>BÖLCSŐDE!BA56+FALUHÁZ!BA56+ÓVODA!BA56+PMH!BA56+ÖNKORMÁNYZAT!BA56</f>
        <v>4398200</v>
      </c>
      <c r="BB56" s="501">
        <f>BÖLCSŐDE!BB56+FALUHÁZ!BB56+ÓVODA!BB56+PMH!BB56+ÖNKORMÁNYZAT!BB56</f>
        <v>4398200</v>
      </c>
      <c r="BC56" s="501">
        <f>BÖLCSŐDE!BC56+FALUHÁZ!BC56+ÓVODA!BC56+PMH!BC56+ÖNKORMÁNYZAT!BC56</f>
        <v>4238200</v>
      </c>
      <c r="BD56" s="501">
        <f>BÖLCSŐDE!BD56+FALUHÁZ!BD56+ÓVODA!BD56+PMH!BD56+ÖNKORMÁNYZAT!BD56</f>
        <v>1814158</v>
      </c>
      <c r="BE56" s="501">
        <f>BÖLCSŐDE!BE56+FALUHÁZ!BE56+ÓVODA!BE56+PMH!BE56+ÖNKORMÁNYZAT!BE56</f>
        <v>2556387</v>
      </c>
      <c r="BF56" s="501">
        <f>BÖLCSŐDE!BF56+FALUHÁZ!BF56+ÓVODA!BF56+PMH!BF56+ÖNKORMÁNYZAT!BF56</f>
        <v>3086066</v>
      </c>
      <c r="BG56" s="383">
        <f>BÖLCSŐDE!BG56+FALUHÁZ!BG56+ÓVODA!BG56+PMH!BG56+ÖNKORMÁNYZAT!BG56</f>
        <v>3703279.2</v>
      </c>
      <c r="BH56" s="65">
        <f>BÖLCSŐDE!BH56+FALUHÁZ!BH56+ÓVODA!BH56+PMH!BH56+ÖNKORMÁNYZAT!BH56</f>
        <v>4102056</v>
      </c>
      <c r="BI56" s="65">
        <f>BÖLCSŐDE!BI56+FALUHÁZ!BI56+ÓVODA!BI56+PMH!BI56+ÖNKORMÁNYZAT!BI56</f>
        <v>3927059</v>
      </c>
      <c r="BJ56" s="65">
        <f>BÖLCSŐDE!BJ56+FALUHÁZ!BJ56+ÓVODA!BJ56+PMH!BJ56+ÖNKORMÁNYZAT!BJ56</f>
        <v>2080578</v>
      </c>
      <c r="BK56" s="65">
        <f>BÖLCSŐDE!BK56+FALUHÁZ!BK56+ÓVODA!BK56+PMH!BK56+ÖNKORMÁNYZAT!BK56</f>
        <v>2975518</v>
      </c>
      <c r="BL56" s="65">
        <f>BÖLCSŐDE!BL56+FALUHÁZ!BL56+ÓVODA!BL56+PMH!BL56+ÖNKORMÁNYZAT!BL56</f>
        <v>3570621.5999999996</v>
      </c>
      <c r="BM56" s="65">
        <f>BÖLCSŐDE!BM56+FALUHÁZ!BM56+ÓVODA!BM56+PMH!BM56+ÖNKORMÁNYZAT!BM56</f>
        <v>4100000</v>
      </c>
      <c r="BN56" s="65">
        <f>BÖLCSŐDE!BN56+FALUHÁZ!BN56+ÓVODA!BN56+PMH!BN56+ÖNKORMÁNYZAT!BN56</f>
        <v>4100000</v>
      </c>
      <c r="BO56" s="65">
        <f>BÖLCSŐDE!BO56+FALUHÁZ!BO56+ÓVODA!BO56+PMH!BO56+ÖNKORMÁNYZAT!BO56</f>
        <v>2684923</v>
      </c>
      <c r="BP56" s="65">
        <f>BÖLCSŐDE!BP56+FALUHÁZ!BP56+ÓVODA!BP56+PMH!BP56+ÖNKORMÁNYZAT!BP56</f>
        <v>3221907.6</v>
      </c>
      <c r="BQ56" s="65">
        <f>BÖLCSŐDE!BQ56+FALUHÁZ!BQ56+ÓVODA!BQ56+PMH!BQ56+ÖNKORMÁNYZAT!BQ56</f>
        <v>3544098.36</v>
      </c>
      <c r="BR56" s="65">
        <f>BÖLCSŐDE!BR56+FALUHÁZ!BR56+ÓVODA!BR56+PMH!BR56+ÖNKORMÁNYZAT!BR56</f>
        <v>3211813</v>
      </c>
      <c r="BS56" s="65">
        <f>BÖLCSŐDE!BS56+FALUHÁZ!BS56+ÓVODA!BS56+PMH!BS56+ÖNKORMÁNYZAT!BS56</f>
        <v>3211813</v>
      </c>
      <c r="BT56" s="65">
        <f>BÖLCSŐDE!BT56+FALUHÁZ!BT56+ÓVODA!BT56+PMH!BT56+ÖNKORMÁNYZAT!BT56</f>
        <v>3211813</v>
      </c>
      <c r="BU56" s="65">
        <f>BÖLCSŐDE!BU56+FALUHÁZ!BU56+ÓVODA!BU56+PMH!BU56+ÖNKORMÁNYZAT!BU56</f>
        <v>3625000</v>
      </c>
      <c r="BV56" s="65">
        <f>BÖLCSŐDE!BV56+FALUHÁZ!BV56+ÓVODA!BV56+PMH!BV56+ÖNKORMÁNYZAT!BV56</f>
        <v>6845000</v>
      </c>
    </row>
    <row r="57" spans="1:92" x14ac:dyDescent="0.25">
      <c r="A57" s="54" t="s">
        <v>43</v>
      </c>
      <c r="B57" s="55" t="s">
        <v>152</v>
      </c>
      <c r="C57" s="55">
        <f>BÖLCSŐDE!C57+FALUHÁZ!C57+ÓVODA!C57+PMH!C57+ÖNKORMÁNYZAT!C57</f>
        <v>41422069</v>
      </c>
      <c r="D57" s="55">
        <f>BÖLCSŐDE!D57+FALUHÁZ!D57+ÓVODA!D57+PMH!D57+ÖNKORMÁNYZAT!D57</f>
        <v>38716985</v>
      </c>
      <c r="E57" s="55">
        <f>BÖLCSŐDE!E57+FALUHÁZ!E57+ÓVODA!E57+PMH!E57+ÖNKORMÁNYZAT!E57</f>
        <v>42967591</v>
      </c>
      <c r="F57" s="55">
        <f>BÖLCSŐDE!F57+FALUHÁZ!F57+ÓVODA!F57+PMH!F57+ÖNKORMÁNYZAT!F57</f>
        <v>33619007</v>
      </c>
      <c r="G57" s="55">
        <f>BÖLCSŐDE!G57+FALUHÁZ!G57+ÓVODA!G57+PMH!G57+ÖNKORMÁNYZAT!G57</f>
        <v>49301735</v>
      </c>
      <c r="H57" s="55">
        <f>BÖLCSŐDE!H57+FALUHÁZ!H57+ÓVODA!H57+PMH!H57+ÖNKORMÁNYZAT!H57</f>
        <v>38569361</v>
      </c>
      <c r="I57" s="55">
        <f t="shared" si="0"/>
        <v>42075666.545454547</v>
      </c>
      <c r="J57" s="55">
        <v>42738561.11965812</v>
      </c>
      <c r="K57" s="55">
        <v>45964658.11965812</v>
      </c>
      <c r="L57" s="55">
        <f>BÖLCSŐDE!L57+FALUHÁZ!L57+ÓVODA!L57+PMH!L57+ÖNKORMÁNYZAT!L57</f>
        <v>45964658.11965812</v>
      </c>
      <c r="M57" s="1">
        <f t="shared" si="1"/>
        <v>109.24285197003898</v>
      </c>
      <c r="O57" s="55">
        <f>BÖLCSŐDE!O57+FALUHÁZ!N57+ÓVODA!O57+PMH!O57+ÖNKORMÁNYZAT!O57</f>
        <v>46664658</v>
      </c>
      <c r="P57" s="55">
        <f>BÖLCSŐDE!P57+FALUHÁZ!O57+ÓVODA!P57+PMH!P57+ÖNKORMÁNYZAT!P57</f>
        <v>29945459</v>
      </c>
      <c r="Q57" s="55">
        <f>BÖLCSŐDE!Q57+FALUHÁZ!P57+ÓVODA!Q57+PMH!Q57+ÖNKORMÁNYZAT!Q57</f>
        <v>34430981</v>
      </c>
      <c r="R57" s="55">
        <f>BÖLCSŐDE!R57+FALUHÁZ!Q57+ÓVODA!R57+PMH!R57+ÖNKORMÁNYZAT!R57</f>
        <v>46065000</v>
      </c>
      <c r="S57" s="55">
        <f>BÖLCSŐDE!S57+FALUHÁZ!R57+ÓVODA!S57+PMH!S57+ÖNKORMÁNYZAT!S57</f>
        <v>46831658</v>
      </c>
      <c r="T57" s="55">
        <f>BÖLCSŐDE!T57+FALUHÁZ!S57+ÓVODA!T57+PMH!T57+ÖNKORMÁNYZAT!T57</f>
        <v>42297217</v>
      </c>
      <c r="U57" s="55">
        <f>BÖLCSŐDE!U57+FALUHÁZ!T57+ÓVODA!U57+PMH!U57+ÖNKORMÁNYZAT!U57</f>
        <v>44983000</v>
      </c>
      <c r="V57" s="55">
        <f>BÖLCSŐDE!V57+FALUHÁZ!U57+ÓVODA!V57+PMH!V57+ÖNKORMÁNYZAT!V57</f>
        <v>44983000</v>
      </c>
      <c r="W57" s="55">
        <f>BÖLCSŐDE!W57+FALUHÁZ!V57+ÓVODA!W57+PMH!W57+ÖNKORMÁNYZAT!W57</f>
        <v>44983000</v>
      </c>
      <c r="X57" s="122">
        <f t="shared" si="2"/>
        <v>94.029337749816605</v>
      </c>
      <c r="AA57" s="55">
        <f>BÖLCSŐDE!AA57+FALUHÁZ!Z57+ÓVODA!AA57+PMH!AA57+ÖNKORMÁNYZAT!AA57</f>
        <v>44983000</v>
      </c>
      <c r="AB57" s="55">
        <f>BÖLCSŐDE!AB57+FALUHÁZ!AA57+ÓVODA!AB57+PMH!AB57+ÖNKORMÁNYZAT!AB57</f>
        <v>26231062</v>
      </c>
      <c r="AC57" s="55">
        <f>BÖLCSŐDE!AB57+FALUHÁZ!AA57+ÓVODA!AB57+PMH!AB57+ÖNKORMÁNYZAT!AB57</f>
        <v>26231062</v>
      </c>
      <c r="AD57" s="55">
        <f>BÖLCSŐDE!AC57+FALUHÁZ!AB57+ÓVODA!AC57+PMH!AC57+ÖNKORMÁNYZAT!AC57</f>
        <v>30092187</v>
      </c>
      <c r="AE57" s="223">
        <f>BÖLCSŐDE!AE57+FALUHÁZ!AD57+ÓVODA!AE57+PMH!AE57+ÖNKORMÁNYZAT!AD57</f>
        <v>8295131.1115323044</v>
      </c>
      <c r="AF57" s="122">
        <f t="shared" si="3"/>
        <v>66.896798790654245</v>
      </c>
      <c r="AG57" s="55">
        <f>BÖLCSŐDE!AG56+FALUHÁZ!AG56+ÓVODA!AG56+PMH!AG56+ÖNKORMÁNYZAT!AG56</f>
        <v>2744013</v>
      </c>
      <c r="AH57" s="55"/>
      <c r="AI57" s="55">
        <f>BÖLCSŐDE!AI57+FALUHÁZ!AJ57+ÓVODA!AI57+PMH!AI57+ÖNKORMÁNYZAT!AI57</f>
        <v>46297405.728</v>
      </c>
      <c r="AJ57" s="55"/>
      <c r="AK57" s="55">
        <f>BÖLCSŐDE!AL57+FALUHÁZ!AK57+ÓVODA!AK57+PMH!AK57+ÖNKORMÁNYZAT!AK57</f>
        <v>45297405.728</v>
      </c>
      <c r="AM57" s="55">
        <f>BÖLCSŐDE!AM57+FALUHÁZ!AM57+ÓVODA!AM57+PMH!AM57+ÖNKORMÁNYZAT!AM57</f>
        <v>46551022</v>
      </c>
      <c r="AN57" s="55">
        <f>BÖLCSŐDE!AN57+FALUHÁZ!AN57+ÓVODA!AP57+PMH!AN57+ÖNKORMÁNYZAT!AP57</f>
        <v>44559406</v>
      </c>
      <c r="AO57" s="55">
        <f>BÖLCSŐDE!AO57+FALUHÁZ!AO57+ÓVODA!AQ57+PMH!AO57+ÖNKORMÁNYZAT!AQ57</f>
        <v>27033473</v>
      </c>
      <c r="AP57" s="55">
        <f>BÖLCSŐDE!AP57+FALUHÁZ!AP57+ÓVODA!AP57+PMH!AP57+ÖNKORMÁNYZAT!AP57</f>
        <v>43739406</v>
      </c>
      <c r="AQ57" s="55">
        <f>BÖLCSŐDE!AQ57+FALUHÁZ!AQ57+ÓVODA!AQ57+PMH!AQ57+ÖNKORMÁNYZAT!AQ57</f>
        <v>29251198</v>
      </c>
      <c r="AR57" s="55">
        <f t="shared" si="4"/>
        <v>14488208</v>
      </c>
      <c r="AS57" s="54">
        <f t="shared" si="5"/>
        <v>66.876075088902681</v>
      </c>
      <c r="AT57" s="55">
        <f>BÖLCSŐDE!AT57+FALUHÁZ!AT57+ÓVODA!AT57+PMH!AT57+ÖNKORMÁNYZAT!AT57</f>
        <v>34726331</v>
      </c>
      <c r="AU57" s="55">
        <f t="shared" si="6"/>
        <v>9013075</v>
      </c>
      <c r="AV57" s="54">
        <f t="shared" si="7"/>
        <v>20.606304072807937</v>
      </c>
      <c r="AW57" s="55">
        <f>BÖLCSŐDE!AW57+FALUHÁZ!AW57+ÓVODA!AW57+PMH!AW57+ÖNKORMÁNYZAT!AW57</f>
        <v>47797406</v>
      </c>
      <c r="AX57" s="55">
        <f>BÖLCSŐDE!AX57+FALUHÁZ!AX57+ÓVODA!AX57+PMH!AX57+ÖNKORMÁNYZAT!AX57</f>
        <v>47797406</v>
      </c>
      <c r="AY57" s="55">
        <f>BÖLCSŐDE!AY57+FALUHÁZ!AY57+ÓVODA!AY57+PMH!AY57+ÖNKORMÁNYZAT!AY57</f>
        <v>47797406</v>
      </c>
      <c r="AZ57" s="55">
        <f>BÖLCSŐDE!AZ57+FALUHÁZ!AZ57+ÓVODA!AZ57+PMH!AZ57+ÖNKORMÁNYZAT!AZ57</f>
        <v>47797406</v>
      </c>
      <c r="BA57" s="55">
        <f>BÖLCSŐDE!BA57+FALUHÁZ!BA57+ÓVODA!BA57+PMH!BA57+ÖNKORMÁNYZAT!BA57</f>
        <v>47797406</v>
      </c>
      <c r="BB57" s="501">
        <f>BÖLCSŐDE!BB57+FALUHÁZ!BB57+ÓVODA!BB57+PMH!BB57+ÖNKORMÁNYZAT!BB57</f>
        <v>47797406</v>
      </c>
      <c r="BC57" s="501">
        <f>BÖLCSŐDE!BC57+FALUHÁZ!BC57+ÓVODA!BC57+PMH!BC57+ÖNKORMÁNYZAT!BC57</f>
        <v>41542734</v>
      </c>
      <c r="BD57" s="501">
        <f>BÖLCSŐDE!BD57+FALUHÁZ!BD57+ÓVODA!BD57+PMH!BD57+ÖNKORMÁNYZAT!BD57</f>
        <v>25337912</v>
      </c>
      <c r="BE57" s="501">
        <f>BÖLCSŐDE!BE57+FALUHÁZ!BE57+ÓVODA!BE57+PMH!BE57+ÖNKORMÁNYZAT!BE57</f>
        <v>30863787</v>
      </c>
      <c r="BF57" s="501">
        <f>BÖLCSŐDE!BF57+FALUHÁZ!BF57+ÓVODA!BF57+PMH!BF57+ÖNKORMÁNYZAT!BF57</f>
        <v>36209054</v>
      </c>
      <c r="BG57" s="383">
        <f>BÖLCSŐDE!BG57+FALUHÁZ!BG57+ÓVODA!BG57+PMH!BG57+ÖNKORMÁNYZAT!BG57</f>
        <v>43450864.800000012</v>
      </c>
      <c r="BH57" s="65">
        <f>BÖLCSŐDE!BH57+FALUHÁZ!BH57+ÓVODA!BH57+PMH!BH57+ÖNKORMÁNYZAT!BH57</f>
        <v>50981198.479999997</v>
      </c>
      <c r="BI57" s="65">
        <f>BÖLCSŐDE!BI57+FALUHÁZ!BI57+ÓVODA!BI57+PMH!BI57+ÖNKORMÁNYZAT!BI57</f>
        <v>50340485</v>
      </c>
      <c r="BJ57" s="65">
        <f>BÖLCSŐDE!BJ57+FALUHÁZ!BJ57+ÓVODA!BJ57+PMH!BJ57+ÖNKORMÁNYZAT!BJ57</f>
        <v>27816874</v>
      </c>
      <c r="BK57" s="65">
        <f>BÖLCSŐDE!BK57+FALUHÁZ!BK57+ÓVODA!BK57+PMH!BK57+ÖNKORMÁNYZAT!BK57</f>
        <v>43860811</v>
      </c>
      <c r="BL57" s="65">
        <f>BÖLCSŐDE!BL57+FALUHÁZ!BL57+ÓVODA!BL57+PMH!BL57+ÖNKORMÁNYZAT!BL57</f>
        <v>52632973.20000001</v>
      </c>
      <c r="BM57" s="65">
        <f>BÖLCSŐDE!BM57+FALUHÁZ!BM57+ÓVODA!BM57+PMH!BM57+ÖNKORMÁNYZAT!BM57</f>
        <v>59500000</v>
      </c>
      <c r="BN57" s="65">
        <f>BÖLCSŐDE!BN57+FALUHÁZ!BN57+ÓVODA!BN57+PMH!BN57+ÖNKORMÁNYZAT!BN57</f>
        <v>59500000</v>
      </c>
      <c r="BO57" s="65">
        <f>BÖLCSŐDE!BO57+FALUHÁZ!BO57+ÓVODA!BO57+PMH!BO57+ÖNKORMÁNYZAT!BO57</f>
        <v>51667696</v>
      </c>
      <c r="BP57" s="65">
        <f>BÖLCSŐDE!BP57+FALUHÁZ!BP57+ÓVODA!BP57+PMH!BP57+ÖNKORMÁNYZAT!BP57</f>
        <v>62001235.200000003</v>
      </c>
      <c r="BQ57" s="65">
        <f>BÖLCSŐDE!BQ57+FALUHÁZ!BQ57+ÓVODA!BQ57+PMH!BQ57+ÖNKORMÁNYZAT!BQ57</f>
        <v>68201358.719999999</v>
      </c>
      <c r="BR57" s="65">
        <f>BÖLCSŐDE!BR57+FALUHÁZ!BR57+ÓVODA!BR57+PMH!BR57+ÖNKORMÁNYZAT!BR57</f>
        <v>67143800</v>
      </c>
      <c r="BS57" s="65">
        <f>BÖLCSŐDE!BS57+FALUHÁZ!BS57+ÓVODA!BS57+PMH!BS57+ÖNKORMÁNYZAT!BS57</f>
        <v>67143800</v>
      </c>
      <c r="BT57" s="65">
        <f>BÖLCSŐDE!BT57+FALUHÁZ!BT57+ÓVODA!BT57+PMH!BT57+ÖNKORMÁNYZAT!BT57</f>
        <v>66877800</v>
      </c>
      <c r="BU57" s="65">
        <f>BÖLCSŐDE!BU57+FALUHÁZ!BU57+ÓVODA!BU57+PMH!BU57+ÖNKORMÁNYZAT!BU57</f>
        <v>71434000</v>
      </c>
      <c r="BV57" s="65">
        <f>BÖLCSŐDE!BV57+FALUHÁZ!BV57+ÓVODA!BV57+PMH!BV57+ÖNKORMÁNYZAT!BV57</f>
        <v>80051000</v>
      </c>
    </row>
    <row r="58" spans="1:92" x14ac:dyDescent="0.25">
      <c r="A58" s="54" t="s">
        <v>243</v>
      </c>
      <c r="B58" s="55" t="s">
        <v>244</v>
      </c>
      <c r="C58" s="55"/>
      <c r="D58" s="55"/>
      <c r="E58" s="55"/>
      <c r="F58" s="55"/>
      <c r="G58" s="55">
        <f>BÖLCSŐDE!G58+FALUHÁZ!G58+ÓVODA!G58+PMH!G58+ÖNKORMÁNYZAT!G58</f>
        <v>112500</v>
      </c>
      <c r="H58" s="55">
        <f>BÖLCSŐDE!H58+FALUHÁZ!H58+ÓVODA!H58+PMH!H58+ÖNKORMÁNYZAT!H58</f>
        <v>112500</v>
      </c>
      <c r="I58" s="55">
        <f t="shared" si="0"/>
        <v>122727.27272727274</v>
      </c>
      <c r="J58" s="55">
        <v>0</v>
      </c>
      <c r="K58" s="55">
        <v>0</v>
      </c>
      <c r="L58" s="55">
        <f>BÖLCSŐDE!L58+FALUHÁZ!L58+ÓVODA!L58+PMH!L58+ÖNKORMÁNYZAT!L58</f>
        <v>0</v>
      </c>
      <c r="M58" s="1">
        <f t="shared" si="1"/>
        <v>0</v>
      </c>
      <c r="O58" s="55">
        <f>BÖLCSŐDE!O58+FALUHÁZ!N58+ÓVODA!O58+PMH!O58+ÖNKORMÁNYZAT!O58</f>
        <v>0</v>
      </c>
      <c r="P58" s="55">
        <f>BÖLCSŐDE!P58+FALUHÁZ!O58+ÓVODA!P58+PMH!P58+ÖNKORMÁNYZAT!P58</f>
        <v>0</v>
      </c>
      <c r="Q58" s="55">
        <f>BÖLCSŐDE!Q58+FALUHÁZ!P58+ÓVODA!Q58+PMH!Q58+ÖNKORMÁNYZAT!Q58</f>
        <v>0</v>
      </c>
      <c r="R58" s="55">
        <f>BÖLCSŐDE!R58+FALUHÁZ!Q58+ÓVODA!R58+PMH!R58+ÖNKORMÁNYZAT!R58</f>
        <v>0</v>
      </c>
      <c r="S58" s="55">
        <f>BÖLCSŐDE!S58+FALUHÁZ!R58+ÓVODA!S58+PMH!S58+ÖNKORMÁNYZAT!S58</f>
        <v>0</v>
      </c>
      <c r="T58" s="55">
        <f>BÖLCSŐDE!T58+FALUHÁZ!S58+ÓVODA!T58+PMH!T58+ÖNKORMÁNYZAT!T58</f>
        <v>0</v>
      </c>
      <c r="U58" s="55">
        <f>BÖLCSŐDE!U58+FALUHÁZ!T58+ÓVODA!U58+PMH!U58+ÖNKORMÁNYZAT!U58</f>
        <v>0</v>
      </c>
      <c r="V58" s="55">
        <f>BÖLCSŐDE!V58+FALUHÁZ!U58+ÓVODA!V58+PMH!V58+ÖNKORMÁNYZAT!V58</f>
        <v>0</v>
      </c>
      <c r="W58" s="55">
        <f>BÖLCSŐDE!W58+FALUHÁZ!V58+ÓVODA!W58+PMH!W58+ÖNKORMÁNYZAT!W58</f>
        <v>0</v>
      </c>
      <c r="X58" s="122"/>
      <c r="AA58" s="55">
        <f>BÖLCSŐDE!AA58+FALUHÁZ!Z58+ÓVODA!AA58+PMH!AA58+ÖNKORMÁNYZAT!AA58</f>
        <v>0</v>
      </c>
      <c r="AB58" s="55">
        <f>BÖLCSŐDE!AB58+FALUHÁZ!AA58+ÓVODA!AB58+PMH!AB58+ÖNKORMÁNYZAT!AB58</f>
        <v>0</v>
      </c>
      <c r="AC58" s="55">
        <f>BÖLCSŐDE!AB58+FALUHÁZ!AA58+ÓVODA!AB58+PMH!AB58+ÖNKORMÁNYZAT!AB58</f>
        <v>0</v>
      </c>
      <c r="AD58" s="55">
        <f>BÖLCSŐDE!AC58+FALUHÁZ!AB58+ÓVODA!AC58+PMH!AC58+ÖNKORMÁNYZAT!AC58</f>
        <v>0</v>
      </c>
      <c r="AE58" s="223">
        <f>BÖLCSŐDE!AE58+FALUHÁZ!AD58+ÓVODA!AE58+PMH!AE58+ÖNKORMÁNYZAT!AD58</f>
        <v>0</v>
      </c>
      <c r="AF58" s="122"/>
      <c r="AG58" s="55">
        <f>BÖLCSŐDE!AG57+FALUHÁZ!AG57+ÓVODA!AG57+PMH!AG57+ÖNKORMÁNYZAT!AG57</f>
        <v>39960477</v>
      </c>
      <c r="AH58" s="55"/>
      <c r="AI58" s="55">
        <f>BÖLCSŐDE!AI58+FALUHÁZ!AJ58+ÓVODA!AI58+PMH!AI58+ÖNKORMÁNYZAT!AI58</f>
        <v>60000</v>
      </c>
      <c r="AJ58" s="55"/>
      <c r="AK58" s="55">
        <f>BÖLCSŐDE!AL58+FALUHÁZ!AK58+ÓVODA!AK58+PMH!AK58+ÖNKORMÁNYZAT!AK58</f>
        <v>60000</v>
      </c>
      <c r="AM58" s="55">
        <f>BÖLCSŐDE!AM58+FALUHÁZ!AM58+ÓVODA!AM58+PMH!AM58+ÖNKORMÁNYZAT!AM58</f>
        <v>0</v>
      </c>
      <c r="AN58" s="55">
        <f>BÖLCSŐDE!AN58+FALUHÁZ!AN58+ÓVODA!AP58+PMH!AN58+ÖNKORMÁNYZAT!AP58</f>
        <v>0</v>
      </c>
      <c r="AO58" s="55">
        <f>BÖLCSŐDE!AO58+FALUHÁZ!AO58+ÓVODA!AQ58+PMH!AO58+ÖNKORMÁNYZAT!AQ58</f>
        <v>0</v>
      </c>
      <c r="AP58" s="55">
        <f>BÖLCSŐDE!AP58+FALUHÁZ!AP58+ÓVODA!AP58+PMH!AP58+ÖNKORMÁNYZAT!AP58</f>
        <v>0</v>
      </c>
      <c r="AQ58" s="55">
        <f>BÖLCSŐDE!AQ58+FALUHÁZ!AQ58+ÓVODA!AQ58+PMH!AQ58+ÖNKORMÁNYZAT!AQ58</f>
        <v>0</v>
      </c>
      <c r="AR58" s="55">
        <f t="shared" si="4"/>
        <v>0</v>
      </c>
      <c r="AS58" s="54"/>
      <c r="AT58" s="55">
        <f>BÖLCSŐDE!AT58+FALUHÁZ!AT58+ÓVODA!AT58+PMH!AT58+ÖNKORMÁNYZAT!AT58</f>
        <v>0</v>
      </c>
      <c r="AU58" s="55"/>
      <c r="AV58" s="54"/>
      <c r="AW58" s="55">
        <f>BÖLCSŐDE!AW58+FALUHÁZ!AW58+ÓVODA!AW58+PMH!AW58+ÖNKORMÁNYZAT!AW58</f>
        <v>0</v>
      </c>
      <c r="AX58" s="55">
        <f>BÖLCSŐDE!AX58+FALUHÁZ!AX58+ÓVODA!AX58+PMH!AX58+ÖNKORMÁNYZAT!AX58</f>
        <v>0</v>
      </c>
      <c r="AY58" s="55">
        <f>BÖLCSŐDE!AY58+FALUHÁZ!AY58+ÓVODA!AY58+PMH!AY58+ÖNKORMÁNYZAT!AY58</f>
        <v>0</v>
      </c>
      <c r="AZ58" s="55">
        <f>BÖLCSŐDE!AZ58+FALUHÁZ!AZ58+ÓVODA!AZ58+PMH!AZ58+ÖNKORMÁNYZAT!AZ58</f>
        <v>0</v>
      </c>
      <c r="BA58" s="55">
        <f>BÖLCSŐDE!BA58+FALUHÁZ!BA58+ÓVODA!BA58+PMH!BA58+ÖNKORMÁNYZAT!BA58</f>
        <v>0</v>
      </c>
      <c r="BB58" s="501">
        <f>BÖLCSŐDE!BB58+FALUHÁZ!BB58+ÓVODA!BB58+PMH!BB58+ÖNKORMÁNYZAT!BB58</f>
        <v>0</v>
      </c>
      <c r="BC58" s="501">
        <f>BÖLCSŐDE!BC58+FALUHÁZ!BC58+ÓVODA!BC58+PMH!BC58+ÖNKORMÁNYZAT!BC58</f>
        <v>0</v>
      </c>
      <c r="BD58" s="501">
        <f>BÖLCSŐDE!BD58+FALUHÁZ!BD58+ÓVODA!BD58+PMH!BD58+ÖNKORMÁNYZAT!BD58</f>
        <v>0</v>
      </c>
      <c r="BE58" s="501">
        <f>BÖLCSŐDE!BE58+FALUHÁZ!BE58+ÓVODA!BE58+PMH!BE58+ÖNKORMÁNYZAT!BE58</f>
        <v>0</v>
      </c>
      <c r="BF58" s="501">
        <f>BÖLCSŐDE!BF58+FALUHÁZ!BF58+ÓVODA!BF58+PMH!BF58+ÖNKORMÁNYZAT!BF58</f>
        <v>0</v>
      </c>
      <c r="BG58" s="383">
        <f>BÖLCSŐDE!BG58+FALUHÁZ!BG58+ÓVODA!BG58+PMH!BG58+ÖNKORMÁNYZAT!BG58</f>
        <v>0</v>
      </c>
      <c r="BH58" s="65">
        <f>BÖLCSŐDE!BH58+FALUHÁZ!BH58+ÓVODA!BH58+PMH!BH58+ÖNKORMÁNYZAT!BH58</f>
        <v>0</v>
      </c>
      <c r="BI58" s="65">
        <f>BÖLCSŐDE!BI58+FALUHÁZ!BI58+ÓVODA!BI58+PMH!BI58+ÖNKORMÁNYZAT!BI58</f>
        <v>0</v>
      </c>
      <c r="BJ58" s="65">
        <f>BÖLCSŐDE!BJ58+FALUHÁZ!BJ58+ÓVODA!BJ58+PMH!BJ58+ÖNKORMÁNYZAT!BJ58</f>
        <v>0</v>
      </c>
      <c r="BK58" s="65">
        <f>BÖLCSŐDE!BK58+FALUHÁZ!BK58+ÓVODA!BK58+PMH!BK58+ÖNKORMÁNYZAT!BK58</f>
        <v>0</v>
      </c>
      <c r="BL58" s="65">
        <f>BÖLCSŐDE!BL58+FALUHÁZ!BL58+ÓVODA!BL58+PMH!BL58+ÖNKORMÁNYZAT!BL58</f>
        <v>0</v>
      </c>
      <c r="BM58" s="65">
        <f>BÖLCSŐDE!BM58+FALUHÁZ!BM58+ÓVODA!BM58+PMH!BM58+ÖNKORMÁNYZAT!BM58</f>
        <v>0</v>
      </c>
      <c r="BN58" s="65">
        <f>BÖLCSŐDE!BN58+FALUHÁZ!BN58+ÓVODA!BN58+PMH!BN58+ÖNKORMÁNYZAT!BN58</f>
        <v>0</v>
      </c>
      <c r="BO58" s="65">
        <f>BÖLCSŐDE!BO58+FALUHÁZ!BO58+ÓVODA!BO58+PMH!BO58+ÖNKORMÁNYZAT!BO58</f>
        <v>0</v>
      </c>
      <c r="BP58" s="65">
        <f>BÖLCSŐDE!BP58+FALUHÁZ!BP58+ÓVODA!BP58+PMH!BP58+ÖNKORMÁNYZAT!BP58</f>
        <v>0</v>
      </c>
      <c r="BQ58" s="65">
        <f>BÖLCSŐDE!BQ58+FALUHÁZ!BQ58+ÓVODA!BQ58+PMH!BQ58+ÖNKORMÁNYZAT!BQ58</f>
        <v>0</v>
      </c>
      <c r="BR58" s="65">
        <f>BÖLCSŐDE!BR58+FALUHÁZ!BR58+ÓVODA!BR58+PMH!BR58+ÖNKORMÁNYZAT!BR58</f>
        <v>0</v>
      </c>
      <c r="BS58" s="65">
        <f>BÖLCSŐDE!BS58+FALUHÁZ!BS58+ÓVODA!BS58+PMH!BS58+ÖNKORMÁNYZAT!BS58</f>
        <v>0</v>
      </c>
      <c r="BT58" s="65">
        <f>BÖLCSŐDE!BT58+FALUHÁZ!BT58+ÓVODA!BT58+PMH!BT58+ÖNKORMÁNYZAT!BT58</f>
        <v>0</v>
      </c>
      <c r="BU58" s="65">
        <f>BÖLCSŐDE!BU58+FALUHÁZ!BU58+ÓVODA!BU58+PMH!BU58+ÖNKORMÁNYZAT!BU58</f>
        <v>300000</v>
      </c>
      <c r="BV58" s="65">
        <f>BÖLCSŐDE!BV58+FALUHÁZ!BV58+ÓVODA!BV58+PMH!BV58+ÖNKORMÁNYZAT!BV58</f>
        <v>200000</v>
      </c>
    </row>
    <row r="59" spans="1:92" x14ac:dyDescent="0.25">
      <c r="A59" s="54" t="s">
        <v>44</v>
      </c>
      <c r="B59" s="55" t="s">
        <v>153</v>
      </c>
      <c r="C59" s="55">
        <f>BÖLCSŐDE!C59+FALUHÁZ!C59+ÓVODA!C59+PMH!C59+ÖNKORMÁNYZAT!C59</f>
        <v>887284</v>
      </c>
      <c r="D59" s="55">
        <f>BÖLCSŐDE!D59+FALUHÁZ!D59+ÓVODA!D59+PMH!D59+ÖNKORMÁNYZAT!D59</f>
        <v>531518</v>
      </c>
      <c r="E59" s="55">
        <f>BÖLCSŐDE!E59+FALUHÁZ!E59+ÓVODA!E59+PMH!E59+ÖNKORMÁNYZAT!E59</f>
        <v>847284</v>
      </c>
      <c r="F59" s="55">
        <f>BÖLCSŐDE!F59+FALUHÁZ!F59+ÓVODA!F59+PMH!F59+ÖNKORMÁNYZAT!F59</f>
        <v>2845449</v>
      </c>
      <c r="G59" s="55">
        <f>BÖLCSŐDE!G59+FALUHÁZ!G59+ÓVODA!G59+PMH!G59+ÖNKORMÁNYZAT!G59</f>
        <v>4753825</v>
      </c>
      <c r="H59" s="55">
        <f>BÖLCSŐDE!H59+FALUHÁZ!H59+ÓVODA!H59+PMH!H59+ÖNKORMÁNYZAT!H59</f>
        <v>3185269</v>
      </c>
      <c r="I59" s="55">
        <f t="shared" si="0"/>
        <v>3474838.9090909092</v>
      </c>
      <c r="J59" s="55">
        <v>1004000</v>
      </c>
      <c r="K59" s="55">
        <v>3675000</v>
      </c>
      <c r="L59" s="55">
        <f>BÖLCSŐDE!L59+FALUHÁZ!L59+ÓVODA!L59+PMH!L59+ÖNKORMÁNYZAT!L59</f>
        <v>3675000</v>
      </c>
      <c r="M59" s="1">
        <f t="shared" si="1"/>
        <v>105.7602984237752</v>
      </c>
      <c r="O59" s="55">
        <f>BÖLCSŐDE!O59+FALUHÁZ!N59+ÓVODA!O59+PMH!O59+ÖNKORMÁNYZAT!O59</f>
        <v>3575000</v>
      </c>
      <c r="P59" s="55">
        <f>BÖLCSŐDE!P59+FALUHÁZ!O59+ÓVODA!P59+PMH!P59+ÖNKORMÁNYZAT!P59</f>
        <v>636445</v>
      </c>
      <c r="Q59" s="55">
        <f>BÖLCSŐDE!Q59+FALUHÁZ!P59+ÓVODA!Q59+PMH!Q59+ÖNKORMÁNYZAT!Q59</f>
        <v>765921</v>
      </c>
      <c r="R59" s="55">
        <f>BÖLCSŐDE!R59+FALUHÁZ!Q59+ÓVODA!R59+PMH!R59+ÖNKORMÁNYZAT!R59</f>
        <v>3700000</v>
      </c>
      <c r="S59" s="55">
        <f>BÖLCSŐDE!S59+FALUHÁZ!R59+ÓVODA!S59+PMH!S59+ÖNKORMÁNYZAT!S59</f>
        <v>2112000</v>
      </c>
      <c r="T59" s="55">
        <f>BÖLCSŐDE!T59+FALUHÁZ!S59+ÓVODA!T59+PMH!T59+ÖNKORMÁNYZAT!T59</f>
        <v>1334116</v>
      </c>
      <c r="U59" s="55">
        <f>BÖLCSŐDE!U59+FALUHÁZ!T59+ÓVODA!U59+PMH!U59+ÖNKORMÁNYZAT!U59</f>
        <v>3750000</v>
      </c>
      <c r="V59" s="55">
        <f>BÖLCSŐDE!V59+FALUHÁZ!U59+ÓVODA!V59+PMH!V59+ÖNKORMÁNYZAT!V59</f>
        <v>3750000</v>
      </c>
      <c r="W59" s="55">
        <f>BÖLCSŐDE!W59+FALUHÁZ!V59+ÓVODA!W59+PMH!W59+ÖNKORMÁNYZAT!W59</f>
        <v>1950000</v>
      </c>
      <c r="X59" s="122">
        <f t="shared" si="2"/>
        <v>35.576426666666663</v>
      </c>
      <c r="AA59" s="55">
        <f>BÖLCSŐDE!AA59+FALUHÁZ!Z59+ÓVODA!AA59+PMH!AA59+ÖNKORMÁNYZAT!AA59</f>
        <v>1950000</v>
      </c>
      <c r="AB59" s="55">
        <f>BÖLCSŐDE!AB59+FALUHÁZ!AA59+ÓVODA!AB59+PMH!AB59+ÖNKORMÁNYZAT!AB59</f>
        <v>992856</v>
      </c>
      <c r="AC59" s="55">
        <f>BÖLCSŐDE!AB59+FALUHÁZ!AA59+ÓVODA!AB59+PMH!AB59+ÖNKORMÁNYZAT!AB59</f>
        <v>992856</v>
      </c>
      <c r="AD59" s="55">
        <f>BÖLCSŐDE!AC59+FALUHÁZ!AB59+ÓVODA!AC59+PMH!AC59+ÖNKORMÁNYZAT!AC59</f>
        <v>1198797</v>
      </c>
      <c r="AE59" s="223">
        <f>BÖLCSŐDE!AE59+FALUHÁZ!AD59+ÓVODA!AE59+PMH!AE59+ÖNKORMÁNYZAT!AD59</f>
        <v>812046.91930952377</v>
      </c>
      <c r="AF59" s="122">
        <f t="shared" si="3"/>
        <v>61.476769230769236</v>
      </c>
      <c r="AG59" s="55">
        <f>BÖLCSŐDE!AG58+FALUHÁZ!AG58+ÓVODA!AG58+PMH!AG58+ÖNKORMÁNYZAT!AG58</f>
        <v>0</v>
      </c>
      <c r="AH59" s="55"/>
      <c r="AI59" s="55">
        <f>BÖLCSŐDE!AI59+FALUHÁZ!AJ59+ÓVODA!AI59+PMH!AI59+ÖNKORMÁNYZAT!AI59</f>
        <v>1804610.4</v>
      </c>
      <c r="AJ59" s="55"/>
      <c r="AK59" s="55">
        <f>BÖLCSŐDE!AL59+FALUHÁZ!AK59+ÓVODA!AK59+PMH!AK59+ÖNKORMÁNYZAT!AK59</f>
        <v>1804610.4</v>
      </c>
      <c r="AM59" s="55">
        <f>BÖLCSŐDE!AM59+FALUHÁZ!AM59+ÓVODA!AM59+PMH!AM59+ÖNKORMÁNYZAT!AM59</f>
        <v>1570157</v>
      </c>
      <c r="AN59" s="55">
        <f>BÖLCSŐDE!AN59+FALUHÁZ!AN59+ÓVODA!AP59+PMH!AN59+ÖNKORMÁNYZAT!AP59</f>
        <v>1882006</v>
      </c>
      <c r="AO59" s="55">
        <f>BÖLCSŐDE!AO59+FALUHÁZ!AO59+ÓVODA!AQ59+PMH!AO59+ÖNKORMÁNYZAT!AQ59</f>
        <v>1109824</v>
      </c>
      <c r="AP59" s="55">
        <f>BÖLCSŐDE!AP59+FALUHÁZ!AP59+ÓVODA!AP59+PMH!AP59+ÖNKORMÁNYZAT!AP59</f>
        <v>1882006</v>
      </c>
      <c r="AQ59" s="55">
        <f>BÖLCSŐDE!AQ59+FALUHÁZ!AQ59+ÓVODA!AQ59+PMH!AQ59+ÖNKORMÁNYZAT!AQ59</f>
        <v>1209441</v>
      </c>
      <c r="AR59" s="55">
        <f t="shared" si="4"/>
        <v>672565</v>
      </c>
      <c r="AS59" s="54">
        <f t="shared" si="5"/>
        <v>64.263397672483507</v>
      </c>
      <c r="AT59" s="55">
        <f>BÖLCSŐDE!AT59+FALUHÁZ!AT59+ÓVODA!AT59+PMH!AT59+ÖNKORMÁNYZAT!AT59</f>
        <v>1294235</v>
      </c>
      <c r="AU59" s="55">
        <f t="shared" si="6"/>
        <v>587771</v>
      </c>
      <c r="AV59" s="54">
        <f t="shared" si="7"/>
        <v>31.231090655396422</v>
      </c>
      <c r="AW59" s="55">
        <f>BÖLCSŐDE!AW59+FALUHÁZ!AW59+ÓVODA!AW59+PMH!AW59+ÖNKORMÁNYZAT!AW59</f>
        <v>1804610</v>
      </c>
      <c r="AX59" s="55">
        <f>BÖLCSŐDE!AX59+FALUHÁZ!AX59+ÓVODA!AX59+PMH!AX59+ÖNKORMÁNYZAT!AX59</f>
        <v>1804610</v>
      </c>
      <c r="AY59" s="55">
        <f>BÖLCSŐDE!AY59+FALUHÁZ!AY59+ÓVODA!AY59+PMH!AY59+ÖNKORMÁNYZAT!AY59</f>
        <v>1804610</v>
      </c>
      <c r="AZ59" s="55">
        <f>BÖLCSŐDE!AZ59+FALUHÁZ!AZ59+ÓVODA!AZ59+PMH!AZ59+ÖNKORMÁNYZAT!AZ59</f>
        <v>1804610</v>
      </c>
      <c r="BA59" s="55">
        <f>BÖLCSŐDE!BA59+FALUHÁZ!BA59+ÓVODA!BA59+PMH!BA59+ÖNKORMÁNYZAT!BA59</f>
        <v>1804610</v>
      </c>
      <c r="BB59" s="501">
        <f>BÖLCSŐDE!BB59+FALUHÁZ!BB59+ÓVODA!BB59+PMH!BB59+ÖNKORMÁNYZAT!BB59</f>
        <v>1804610</v>
      </c>
      <c r="BC59" s="501">
        <f>BÖLCSŐDE!BC59+FALUHÁZ!BC59+ÓVODA!BC59+PMH!BC59+ÖNKORMÁNYZAT!BC59</f>
        <v>1504610</v>
      </c>
      <c r="BD59" s="501">
        <f>BÖLCSŐDE!BD59+FALUHÁZ!BD59+ÓVODA!BD59+PMH!BD59+ÖNKORMÁNYZAT!BD59</f>
        <v>345279</v>
      </c>
      <c r="BE59" s="501">
        <f>BÖLCSŐDE!BE59+FALUHÁZ!BE59+ÓVODA!BE59+PMH!BE59+ÖNKORMÁNYZAT!BE59</f>
        <v>423241</v>
      </c>
      <c r="BF59" s="501">
        <f>BÖLCSŐDE!BF59+FALUHÁZ!BF59+ÓVODA!BF59+PMH!BF59+ÖNKORMÁNYZAT!BF59</f>
        <v>560471</v>
      </c>
      <c r="BG59" s="383">
        <f>BÖLCSŐDE!BG59+FALUHÁZ!BG59+ÓVODA!BG59+PMH!BG59+ÖNKORMÁNYZAT!BG59</f>
        <v>672565.20000000007</v>
      </c>
      <c r="BH59" s="65">
        <f>BÖLCSŐDE!BH59+FALUHÁZ!BH59+ÓVODA!BH59+PMH!BH59+ÖNKORMÁNYZAT!BH59</f>
        <v>1574378.8</v>
      </c>
      <c r="BI59" s="65">
        <f>BÖLCSŐDE!BI59+FALUHÁZ!BI59+ÓVODA!BI59+PMH!BI59+ÖNKORMÁNYZAT!BI59</f>
        <v>1090868</v>
      </c>
      <c r="BJ59" s="65">
        <f>BÖLCSŐDE!BJ59+FALUHÁZ!BJ59+ÓVODA!BJ59+PMH!BJ59+ÖNKORMÁNYZAT!BJ59</f>
        <v>384202</v>
      </c>
      <c r="BK59" s="65">
        <f>BÖLCSŐDE!BK59+FALUHÁZ!BK59+ÓVODA!BK59+PMH!BK59+ÖNKORMÁNYZAT!BK59</f>
        <v>791232</v>
      </c>
      <c r="BL59" s="65">
        <f>BÖLCSŐDE!BL59+FALUHÁZ!BL59+ÓVODA!BL59+PMH!BL59+ÖNKORMÁNYZAT!BL59</f>
        <v>949478.39999999991</v>
      </c>
      <c r="BM59" s="65">
        <f>BÖLCSŐDE!BM59+FALUHÁZ!BM59+ÓVODA!BM59+PMH!BM59+ÖNKORMÁNYZAT!BM59</f>
        <v>100000</v>
      </c>
      <c r="BN59" s="65">
        <f>BÖLCSŐDE!BN59+FALUHÁZ!BN59+ÓVODA!BN59+PMH!BN59+ÖNKORMÁNYZAT!BN59</f>
        <v>100000</v>
      </c>
      <c r="BO59" s="65">
        <f>BÖLCSŐDE!BO59+FALUHÁZ!BO59+ÓVODA!BO59+PMH!BO59+ÖNKORMÁNYZAT!BO59</f>
        <v>5222688</v>
      </c>
      <c r="BP59" s="65">
        <f>BÖLCSŐDE!BP59+FALUHÁZ!BP59+ÓVODA!BP59+PMH!BP59+ÖNKORMÁNYZAT!BP59</f>
        <v>6267225.5999999996</v>
      </c>
      <c r="BQ59" s="65">
        <f>BÖLCSŐDE!BQ59+FALUHÁZ!BQ59+ÓVODA!BQ59+PMH!BQ59+ÖNKORMÁNYZAT!BQ59</f>
        <v>6893948.1600000001</v>
      </c>
      <c r="BR59" s="65">
        <f>BÖLCSŐDE!BR59+FALUHÁZ!BR59+ÓVODA!BR59+PMH!BR59+ÖNKORMÁNYZAT!BR59</f>
        <v>6618379</v>
      </c>
      <c r="BS59" s="65">
        <f>BÖLCSŐDE!BS59+FALUHÁZ!BS59+ÓVODA!BS59+PMH!BS59+ÖNKORMÁNYZAT!BS59</f>
        <v>6618379</v>
      </c>
      <c r="BT59" s="65">
        <f>BÖLCSŐDE!BT59+FALUHÁZ!BT59+ÓVODA!BT59+PMH!BT59+ÖNKORMÁNYZAT!BT59</f>
        <v>6618379</v>
      </c>
      <c r="BU59" s="65">
        <f>BÖLCSŐDE!BU59+FALUHÁZ!BU59+ÓVODA!BU59+PMH!BU59+ÖNKORMÁNYZAT!BU59</f>
        <v>10170000</v>
      </c>
      <c r="BV59" s="65">
        <f>BÖLCSŐDE!BV59+FALUHÁZ!BV59+ÓVODA!BV59+PMH!BV59+ÖNKORMÁNYZAT!BV59</f>
        <v>8950000</v>
      </c>
    </row>
    <row r="60" spans="1:92" x14ac:dyDescent="0.25">
      <c r="A60" s="54" t="s">
        <v>45</v>
      </c>
      <c r="B60" s="55" t="s">
        <v>154</v>
      </c>
      <c r="C60" s="55">
        <f>BÖLCSŐDE!C60+FALUHÁZ!C60+ÓVODA!C60+PMH!C60+ÖNKORMÁNYZAT!C60</f>
        <v>1495244</v>
      </c>
      <c r="D60" s="55">
        <f>BÖLCSŐDE!D60+FALUHÁZ!D60+ÓVODA!D60+PMH!D60+ÖNKORMÁNYZAT!D60</f>
        <v>1235626</v>
      </c>
      <c r="E60" s="55">
        <f>BÖLCSŐDE!E60+FALUHÁZ!E60+ÓVODA!E60+PMH!E60+ÖNKORMÁNYZAT!E60</f>
        <v>1593244</v>
      </c>
      <c r="F60" s="55">
        <f>BÖLCSŐDE!F60+FALUHÁZ!F60+ÓVODA!F60+PMH!F60+ÖNKORMÁNYZAT!F60</f>
        <v>1384843</v>
      </c>
      <c r="G60" s="55">
        <f>BÖLCSŐDE!G60+FALUHÁZ!G60+ÓVODA!G60+PMH!G60+ÖNKORMÁNYZAT!G60</f>
        <v>2362952</v>
      </c>
      <c r="H60" s="55">
        <f>BÖLCSŐDE!H60+FALUHÁZ!H60+ÓVODA!H60+PMH!H60+ÖNKORMÁNYZAT!H60</f>
        <v>1485172</v>
      </c>
      <c r="I60" s="55">
        <f t="shared" si="0"/>
        <v>1620187.6363636362</v>
      </c>
      <c r="J60" s="55">
        <v>1776180.0427350427</v>
      </c>
      <c r="K60" s="55">
        <v>1862735.0427350427</v>
      </c>
      <c r="L60" s="55">
        <f>BÖLCSŐDE!L60+FALUHÁZ!L60+ÓVODA!L60+PMH!L60+ÖNKORMÁNYZAT!L60</f>
        <v>1862735.0427350427</v>
      </c>
      <c r="M60" s="1">
        <f t="shared" si="1"/>
        <v>114.9703281846899</v>
      </c>
      <c r="O60" s="55">
        <f>BÖLCSŐDE!O60+FALUHÁZ!N60+ÓVODA!O60+PMH!O60+ÖNKORMÁNYZAT!O60</f>
        <v>2112735</v>
      </c>
      <c r="P60" s="55">
        <f>BÖLCSŐDE!P60+FALUHÁZ!O60+ÓVODA!P60+PMH!P60+ÖNKORMÁNYZAT!P60</f>
        <v>1634699</v>
      </c>
      <c r="Q60" s="55">
        <f>BÖLCSŐDE!Q60+FALUHÁZ!P60+ÓVODA!Q60+PMH!Q60+ÖNKORMÁNYZAT!Q60</f>
        <v>1863237</v>
      </c>
      <c r="R60" s="55">
        <f>BÖLCSŐDE!R60+FALUHÁZ!Q60+ÓVODA!R60+PMH!R60+ÖNKORMÁNYZAT!R60</f>
        <v>1870000</v>
      </c>
      <c r="S60" s="55">
        <f>BÖLCSŐDE!S60+FALUHÁZ!R60+ÓVODA!S60+PMH!S60+ÖNKORMÁNYZAT!S60</f>
        <v>2434235</v>
      </c>
      <c r="T60" s="55">
        <f>BÖLCSŐDE!T60+FALUHÁZ!S60+ÓVODA!T60+PMH!T60+ÖNKORMÁNYZAT!T60</f>
        <v>2119692</v>
      </c>
      <c r="U60" s="55">
        <f>BÖLCSŐDE!U60+FALUHÁZ!T60+ÓVODA!U60+PMH!U60+ÖNKORMÁNYZAT!U60</f>
        <v>1930000</v>
      </c>
      <c r="V60" s="55">
        <f>BÖLCSŐDE!V60+FALUHÁZ!U60+ÓVODA!V60+PMH!V60+ÖNKORMÁNYZAT!V60</f>
        <v>1930000</v>
      </c>
      <c r="W60" s="55">
        <f>BÖLCSŐDE!W60+FALUHÁZ!V60+ÓVODA!W60+PMH!W60+ÖNKORMÁNYZAT!W60</f>
        <v>1930000</v>
      </c>
      <c r="X60" s="122">
        <f t="shared" si="2"/>
        <v>109.82860103626943</v>
      </c>
      <c r="AA60" s="55">
        <f>BÖLCSŐDE!AA60+FALUHÁZ!Z60+ÓVODA!AA60+PMH!AA60+ÖNKORMÁNYZAT!AA60</f>
        <v>1930000</v>
      </c>
      <c r="AB60" s="55">
        <f>BÖLCSŐDE!AB60+FALUHÁZ!AA60+ÓVODA!AB60+PMH!AB60+ÖNKORMÁNYZAT!AB60</f>
        <v>821295</v>
      </c>
      <c r="AC60" s="55">
        <f>BÖLCSŐDE!AB60+FALUHÁZ!AA60+ÓVODA!AB60+PMH!AB60+ÖNKORMÁNYZAT!AB60</f>
        <v>821295</v>
      </c>
      <c r="AD60" s="55">
        <f>BÖLCSŐDE!AC60+FALUHÁZ!AB60+ÓVODA!AC60+PMH!AC60+ÖNKORMÁNYZAT!AC60</f>
        <v>1081264</v>
      </c>
      <c r="AE60" s="223">
        <f>BÖLCSŐDE!AE60+FALUHÁZ!AD60+ÓVODA!AE60+PMH!AE60+ÖNKORMÁNYZAT!AD60</f>
        <v>251577.29273230373</v>
      </c>
      <c r="AF60" s="122">
        <f t="shared" si="3"/>
        <v>56.024041450777204</v>
      </c>
      <c r="AG60" s="55">
        <f>BÖLCSŐDE!AG59+FALUHÁZ!AG59+ÓVODA!AG59+PMH!AG59+ÖNKORMÁNYZAT!AG59</f>
        <v>1440329</v>
      </c>
      <c r="AH60" s="55"/>
      <c r="AI60" s="55">
        <f>BÖLCSŐDE!AI60+FALUHÁZ!AJ60+ÓVODA!AI60+PMH!AI60+ÖNKORMÁNYZAT!AI60</f>
        <v>3293477.0159999998</v>
      </c>
      <c r="AJ60" s="55"/>
      <c r="AK60" s="55">
        <f>BÖLCSŐDE!AL60+FALUHÁZ!AK60+ÓVODA!AK60+PMH!AK60+ÖNKORMÁNYZAT!AK60</f>
        <v>3353477.0159999998</v>
      </c>
      <c r="AM60" s="55">
        <f>BÖLCSŐDE!AM60+FALUHÁZ!AM60+ÓVODA!AM60+PMH!AM60+ÖNKORMÁNYZAT!AM60</f>
        <v>1540626</v>
      </c>
      <c r="AN60" s="55">
        <f>BÖLCSŐDE!AN60+FALUHÁZ!AN60+ÓVODA!AP60+PMH!AN60+ÖNKORMÁNYZAT!AP60</f>
        <v>2305066</v>
      </c>
      <c r="AO60" s="55">
        <f>BÖLCSŐDE!AO60+FALUHÁZ!AO60+ÓVODA!AQ60+PMH!AO60+ÖNKORMÁNYZAT!AQ60</f>
        <v>1610653</v>
      </c>
      <c r="AP60" s="55">
        <f>BÖLCSŐDE!AP60+FALUHÁZ!AP60+ÓVODA!AP60+PMH!AP60+ÖNKORMÁNYZAT!AP60</f>
        <v>2405066</v>
      </c>
      <c r="AQ60" s="55">
        <f>BÖLCSŐDE!AQ60+FALUHÁZ!AQ60+ÓVODA!AQ60+PMH!AQ60+ÖNKORMÁNYZAT!AQ60</f>
        <v>2001021</v>
      </c>
      <c r="AR60" s="55">
        <f t="shared" si="4"/>
        <v>404045</v>
      </c>
      <c r="AS60" s="54">
        <f t="shared" si="5"/>
        <v>83.200253132346475</v>
      </c>
      <c r="AT60" s="55">
        <f>BÖLCSŐDE!AT60+FALUHÁZ!AT60+ÓVODA!AT60+PMH!AT60+ÖNKORMÁNYZAT!AT60</f>
        <v>2201416</v>
      </c>
      <c r="AU60" s="55">
        <f t="shared" si="6"/>
        <v>203650</v>
      </c>
      <c r="AV60" s="54">
        <f t="shared" si="7"/>
        <v>8.4675430944514609</v>
      </c>
      <c r="AW60" s="55">
        <f>BÖLCSŐDE!AW60+FALUHÁZ!AW60+ÓVODA!AW60+PMH!AW60+ÖNKORMÁNYZAT!AW60</f>
        <v>3353477</v>
      </c>
      <c r="AX60" s="55">
        <f>BÖLCSŐDE!AX60+FALUHÁZ!AX60+ÓVODA!AX60+PMH!AX60+ÖNKORMÁNYZAT!AX60</f>
        <v>3353477</v>
      </c>
      <c r="AY60" s="55">
        <f>BÖLCSŐDE!AY60+FALUHÁZ!AY60+ÓVODA!AY60+PMH!AY60+ÖNKORMÁNYZAT!AY60</f>
        <v>3353477</v>
      </c>
      <c r="AZ60" s="55">
        <f>BÖLCSŐDE!AZ60+FALUHÁZ!AZ60+ÓVODA!AZ60+PMH!AZ60+ÖNKORMÁNYZAT!AZ60</f>
        <v>2353477</v>
      </c>
      <c r="BA60" s="55">
        <f>BÖLCSŐDE!BA60+FALUHÁZ!BA60+ÓVODA!BA60+PMH!BA60+ÖNKORMÁNYZAT!BA60</f>
        <v>2353477</v>
      </c>
      <c r="BB60" s="501">
        <f>BÖLCSŐDE!BB60+FALUHÁZ!BB60+ÓVODA!BB60+PMH!BB60+ÖNKORMÁNYZAT!BB60</f>
        <v>2353477</v>
      </c>
      <c r="BC60" s="501">
        <f>BÖLCSŐDE!BC60+FALUHÁZ!BC60+ÓVODA!BC60+PMH!BC60+ÖNKORMÁNYZAT!BC60</f>
        <v>2731324</v>
      </c>
      <c r="BD60" s="501">
        <f>BÖLCSŐDE!BD60+FALUHÁZ!BD60+ÓVODA!BD60+PMH!BD60+ÖNKORMÁNYZAT!BD60</f>
        <v>1308611</v>
      </c>
      <c r="BE60" s="501">
        <f>BÖLCSŐDE!BE60+FALUHÁZ!BE60+ÓVODA!BE60+PMH!BE60+ÖNKORMÁNYZAT!BE60</f>
        <v>1873916</v>
      </c>
      <c r="BF60" s="501">
        <f>BÖLCSŐDE!BF60+FALUHÁZ!BF60+ÓVODA!BF60+PMH!BF60+ÖNKORMÁNYZAT!BF60</f>
        <v>2028333</v>
      </c>
      <c r="BG60" s="383">
        <f>BÖLCSŐDE!BG60+FALUHÁZ!BG60+ÓVODA!BG60+PMH!BG60+ÖNKORMÁNYZAT!BG60</f>
        <v>2433999.5999999996</v>
      </c>
      <c r="BH60" s="65">
        <f>BÖLCSŐDE!BH60+FALUHÁZ!BH60+ÓVODA!BH60+PMH!BH60+ÖNKORMÁNYZAT!BH60</f>
        <v>2058955.1600000001</v>
      </c>
      <c r="BI60" s="65">
        <f>BÖLCSŐDE!BI60+FALUHÁZ!BI60+ÓVODA!BI60+PMH!BI60+ÖNKORMÁNYZAT!BI60</f>
        <v>2938955</v>
      </c>
      <c r="BJ60" s="65">
        <f>BÖLCSŐDE!BJ60+FALUHÁZ!BJ60+ÓVODA!BJ60+PMH!BJ60+ÖNKORMÁNYZAT!BJ60</f>
        <v>1280963</v>
      </c>
      <c r="BK60" s="65">
        <f>BÖLCSŐDE!BK60+FALUHÁZ!BK60+ÓVODA!BK60+PMH!BK60+ÖNKORMÁNYZAT!BK60</f>
        <v>2332792</v>
      </c>
      <c r="BL60" s="65">
        <f>BÖLCSŐDE!BL60+FALUHÁZ!BL60+ÓVODA!BL60+PMH!BL60+ÖNKORMÁNYZAT!BL60</f>
        <v>2799350.4000000004</v>
      </c>
      <c r="BM60" s="65">
        <f>BÖLCSŐDE!BM60+FALUHÁZ!BM60+ÓVODA!BM60+PMH!BM60+ÖNKORMÁNYZAT!BM60</f>
        <v>4050000</v>
      </c>
      <c r="BN60" s="65">
        <f>BÖLCSŐDE!BN60+FALUHÁZ!BN60+ÓVODA!BN60+PMH!BN60+ÖNKORMÁNYZAT!BN60</f>
        <v>4050000</v>
      </c>
      <c r="BO60" s="65">
        <f>BÖLCSŐDE!BO60+FALUHÁZ!BO60+ÓVODA!BO60+PMH!BO60+ÖNKORMÁNYZAT!BO60</f>
        <v>3933793</v>
      </c>
      <c r="BP60" s="65">
        <f>BÖLCSŐDE!BP60+FALUHÁZ!BP60+ÓVODA!BP60+PMH!BP60+ÖNKORMÁNYZAT!BP60</f>
        <v>4720551.5999999996</v>
      </c>
      <c r="BQ60" s="65">
        <f>BÖLCSŐDE!BQ60+FALUHÁZ!BQ60+ÓVODA!BQ60+PMH!BQ60+ÖNKORMÁNYZAT!BQ60</f>
        <v>5192606.76</v>
      </c>
      <c r="BR60" s="65">
        <f>BÖLCSŐDE!BR60+FALUHÁZ!BR60+ÓVODA!BR60+PMH!BR60+ÖNKORMÁNYZAT!BR60</f>
        <v>5187941</v>
      </c>
      <c r="BS60" s="65">
        <f>BÖLCSŐDE!BS60+FALUHÁZ!BS60+ÓVODA!BS60+PMH!BS60+ÖNKORMÁNYZAT!BS60</f>
        <v>5187941</v>
      </c>
      <c r="BT60" s="65">
        <f>BÖLCSŐDE!BT60+FALUHÁZ!BT60+ÓVODA!BT60+PMH!BT60+ÖNKORMÁNYZAT!BT60</f>
        <v>5187941</v>
      </c>
      <c r="BU60" s="65">
        <f>BÖLCSŐDE!BU60+FALUHÁZ!BU60+ÓVODA!BU60+PMH!BU60+ÖNKORMÁNYZAT!BU60</f>
        <v>3460000</v>
      </c>
      <c r="BV60" s="65">
        <f>BÖLCSŐDE!BV60+FALUHÁZ!BV60+ÓVODA!BV60+PMH!BV60+ÖNKORMÁNYZAT!BV60</f>
        <v>3610000</v>
      </c>
    </row>
    <row r="61" spans="1:92" s="39" customFormat="1" x14ac:dyDescent="0.25">
      <c r="A61" s="54" t="s">
        <v>700</v>
      </c>
      <c r="B61" s="448" t="s">
        <v>703</v>
      </c>
      <c r="C61" s="65">
        <f>BÖLCSŐDE!C61+FALUHÁZ!C61+ÓVODA!C61+PMH!C61+ÖNKORMÁNYZAT!C61</f>
        <v>18096910</v>
      </c>
      <c r="D61" s="65">
        <f>BÖLCSŐDE!D61+FALUHÁZ!D61+ÓVODA!D61+PMH!D61+ÖNKORMÁNYZAT!D61</f>
        <v>15583447</v>
      </c>
      <c r="E61" s="65">
        <f>BÖLCSŐDE!E61+FALUHÁZ!E61+ÓVODA!E61+PMH!E61+ÖNKORMÁNYZAT!E61</f>
        <v>18413070</v>
      </c>
      <c r="F61" s="65">
        <f>BÖLCSŐDE!F61+FALUHÁZ!F61+ÓVODA!F61+PMH!F61+ÖNKORMÁNYZAT!F61</f>
        <v>14176747</v>
      </c>
      <c r="G61" s="65">
        <f>BÖLCSŐDE!G61+FALUHÁZ!G61+ÓVODA!G61+PMH!G61+ÖNKORMÁNYZAT!G61</f>
        <v>25419001</v>
      </c>
      <c r="H61" s="65">
        <f>BÖLCSŐDE!H61+FALUHÁZ!H61+ÓVODA!H61+PMH!H61+ÖNKORMÁNYZAT!H61</f>
        <v>14572283</v>
      </c>
      <c r="I61" s="65">
        <f t="shared" si="0"/>
        <v>15897036</v>
      </c>
      <c r="J61" s="65">
        <v>20107358</v>
      </c>
      <c r="K61" s="65">
        <v>19770000</v>
      </c>
      <c r="L61" s="65">
        <f>BÖLCSŐDE!L61+FALUHÁZ!L61+ÓVODA!L61+PMH!L61+ÖNKORMÁNYZAT!L61</f>
        <v>17770000</v>
      </c>
      <c r="M61" s="14">
        <f t="shared" si="1"/>
        <v>111.78184411232384</v>
      </c>
      <c r="N61"/>
      <c r="O61" s="65">
        <f>BÖLCSŐDE!O61+FALUHÁZ!N61+ÓVODA!O61+PMH!O61+ÖNKORMÁNYZAT!O61</f>
        <v>25971528</v>
      </c>
      <c r="P61" s="65">
        <f>BÖLCSŐDE!P61+FALUHÁZ!O61+ÓVODA!P61+PMH!P61+ÖNKORMÁNYZAT!P61</f>
        <v>15391784</v>
      </c>
      <c r="Q61" s="65">
        <f>BÖLCSŐDE!Q61+FALUHÁZ!P61+ÓVODA!Q61+PMH!Q61+ÖNKORMÁNYZAT!Q61</f>
        <v>16942773</v>
      </c>
      <c r="R61" s="65">
        <f>BÖLCSŐDE!R61+FALUHÁZ!Q61+ÓVODA!R61+PMH!R61+ÖNKORMÁNYZAT!R61</f>
        <v>17900000</v>
      </c>
      <c r="S61" s="65">
        <f>BÖLCSŐDE!S61+FALUHÁZ!R61+ÓVODA!S61+PMH!S61+ÖNKORMÁNYZAT!S61</f>
        <v>24868557</v>
      </c>
      <c r="T61" s="65">
        <f>BÖLCSŐDE!T61+FALUHÁZ!S61+ÓVODA!T61+PMH!T61+ÖNKORMÁNYZAT!T61</f>
        <v>19603715</v>
      </c>
      <c r="U61" s="65">
        <f>BÖLCSŐDE!U61+FALUHÁZ!T61+ÓVODA!U61+PMH!U61+ÖNKORMÁNYZAT!U61</f>
        <v>17600000</v>
      </c>
      <c r="V61" s="65">
        <f>BÖLCSŐDE!V61+FALUHÁZ!U61+ÓVODA!V61+PMH!V61+ÖNKORMÁNYZAT!V61</f>
        <v>17600000</v>
      </c>
      <c r="W61" s="65">
        <f>BÖLCSŐDE!W61+FALUHÁZ!V61+ÓVODA!W61+PMH!W61+ÖNKORMÁNYZAT!W61</f>
        <v>17400000</v>
      </c>
      <c r="X61" s="121">
        <f t="shared" si="2"/>
        <v>111.38474431818182</v>
      </c>
      <c r="Y61"/>
      <c r="Z61"/>
      <c r="AA61" s="65">
        <f>BÖLCSŐDE!AA61+FALUHÁZ!Z61+ÓVODA!AA61+PMH!AA61+ÖNKORMÁNYZAT!AA61</f>
        <v>17400000</v>
      </c>
      <c r="AB61" s="65">
        <f>BÖLCSŐDE!AB61+FALUHÁZ!AA61+ÓVODA!AB61+PMH!AB61+ÖNKORMÁNYZAT!AB61</f>
        <v>11709169</v>
      </c>
      <c r="AC61" s="65">
        <f>BÖLCSŐDE!AB61+FALUHÁZ!AA61+ÓVODA!AB61+PMH!AB61+ÖNKORMÁNYZAT!AB61</f>
        <v>11709169</v>
      </c>
      <c r="AD61" s="65">
        <f>BÖLCSŐDE!AC61+FALUHÁZ!AB61+ÓVODA!AC61+PMH!AC61+ÖNKORMÁNYZAT!AC61</f>
        <v>13662106</v>
      </c>
      <c r="AE61" s="222">
        <f>BÖLCSŐDE!AE61+FALUHÁZ!AD61+ÓVODA!AE61+PMH!AE61+ÖNKORMÁNYZAT!AD61</f>
        <v>11187995.279350877</v>
      </c>
      <c r="AF61" s="121">
        <f t="shared" si="3"/>
        <v>78.517850574712639</v>
      </c>
      <c r="AG61" s="65">
        <f>BÖLCSŐDE!AG60+FALUHÁZ!AG60+ÓVODA!AG60+PMH!AG60+ÖNKORMÁNYZAT!AG60</f>
        <v>1427533</v>
      </c>
      <c r="AH61" s="65"/>
      <c r="AI61" s="55">
        <f>BÖLCSŐDE!AI61+FALUHÁZ!AJ61+ÓVODA!AI61+PMH!AI61+ÖNKORMÁNYZAT!AI61</f>
        <v>18448340.927999999</v>
      </c>
      <c r="AJ61" s="55"/>
      <c r="AK61" s="55">
        <f>BÖLCSŐDE!AL61+FALUHÁZ!AK61+ÓVODA!AK61+PMH!AK61+ÖNKORMÁNYZAT!AK61</f>
        <v>15948340.927999999</v>
      </c>
      <c r="AL61"/>
      <c r="AM61" s="55">
        <f>BÖLCSŐDE!AM61+FALUHÁZ!AM61+ÓVODA!AM61+PMH!AM61+ÖNKORMÁNYZAT!AM61</f>
        <v>17598919</v>
      </c>
      <c r="AN61" s="55">
        <f>BÖLCSŐDE!AN61+FALUHÁZ!AN61+ÓVODA!AP61+PMH!AN61+ÖNKORMÁNYZAT!AP61</f>
        <v>24368340</v>
      </c>
      <c r="AO61" s="55">
        <f>BÖLCSŐDE!AO61+FALUHÁZ!AO61+ÓVODA!AQ61+PMH!AO61+ÖNKORMÁNYZAT!AQ61</f>
        <v>19107540</v>
      </c>
      <c r="AP61" s="55">
        <f>BÖLCSŐDE!AP61+FALUHÁZ!AP61+ÓVODA!AP61+PMH!AP61+ÖNKORMÁNYZAT!AP61</f>
        <v>24368340</v>
      </c>
      <c r="AQ61" s="55">
        <f>BÖLCSŐDE!AQ61+FALUHÁZ!AQ61+ÓVODA!AQ61+PMH!AQ61+ÖNKORMÁNYZAT!AQ61</f>
        <v>20197745</v>
      </c>
      <c r="AR61" s="55">
        <f t="shared" si="4"/>
        <v>4170595</v>
      </c>
      <c r="AS61" s="54">
        <f t="shared" si="5"/>
        <v>82.885190374067335</v>
      </c>
      <c r="AT61" s="55">
        <f>BÖLCSŐDE!AT61+FALUHÁZ!AT61+ÓVODA!AT61+PMH!AT61+ÖNKORMÁNYZAT!AT61</f>
        <v>21662468</v>
      </c>
      <c r="AU61" s="55">
        <f t="shared" si="6"/>
        <v>2705872</v>
      </c>
      <c r="AV61" s="54">
        <f t="shared" si="7"/>
        <v>11.104047300718884</v>
      </c>
      <c r="AW61" s="55">
        <f>BÖLCSŐDE!AW61+FALUHÁZ!AW61+ÓVODA!AW61+PMH!AW61+ÖNKORMÁNYZAT!AW61</f>
        <v>15948340</v>
      </c>
      <c r="AX61" s="55">
        <f>BÖLCSŐDE!AX61+FALUHÁZ!AX61+ÓVODA!AX61+PMH!AX61+ÖNKORMÁNYZAT!AX61</f>
        <v>15948340</v>
      </c>
      <c r="AY61" s="55">
        <f>BÖLCSŐDE!AY61+FALUHÁZ!AY61+ÓVODA!AY61+PMH!AY61+ÖNKORMÁNYZAT!AY61</f>
        <v>15948340</v>
      </c>
      <c r="AZ61" s="55">
        <f>BÖLCSŐDE!AZ61+FALUHÁZ!AZ61+ÓVODA!AZ61+PMH!AZ61+ÖNKORMÁNYZAT!AZ61</f>
        <v>15748340</v>
      </c>
      <c r="BA61" s="55">
        <f>BÖLCSŐDE!BA61+FALUHÁZ!BA61+ÓVODA!BA61+PMH!BA61+ÖNKORMÁNYZAT!BA61</f>
        <v>15748340</v>
      </c>
      <c r="BB61" s="501">
        <f>BÖLCSŐDE!BB61+FALUHÁZ!BB61+ÓVODA!BB61+PMH!BB61+ÖNKORMÁNYZAT!BB61</f>
        <v>15748340</v>
      </c>
      <c r="BC61" s="501">
        <f>BÖLCSŐDE!BC61+FALUHÁZ!BC61+ÓVODA!BC61+PMH!BC61+ÖNKORMÁNYZAT!BC61</f>
        <v>19880639</v>
      </c>
      <c r="BD61" s="501">
        <f>BÖLCSŐDE!BD61+FALUHÁZ!BD61+ÓVODA!BD61+PMH!BD61+ÖNKORMÁNYZAT!BD61</f>
        <v>14897942</v>
      </c>
      <c r="BE61" s="501">
        <f>BÖLCSŐDE!BE61+FALUHÁZ!BE61+ÓVODA!BE61+PMH!BE61+ÖNKORMÁNYZAT!BE61</f>
        <v>17741931</v>
      </c>
      <c r="BF61" s="501">
        <f>BÖLCSŐDE!BF61+FALUHÁZ!BF61+ÓVODA!BF61+PMH!BF61+ÖNKORMÁNYZAT!BF61</f>
        <v>19013487</v>
      </c>
      <c r="BG61" s="383">
        <f>BÖLCSŐDE!BG61+FALUHÁZ!BG61+ÓVODA!BG61+PMH!BG61+ÖNKORMÁNYZAT!BG61</f>
        <v>22816184.399999999</v>
      </c>
      <c r="BH61" s="65">
        <f>BÖLCSŐDE!BH61+FALUHÁZ!BH61+ÓVODA!BH61+PMH!BH61+ÖNKORMÁNYZAT!BH61</f>
        <v>18712207.200000003</v>
      </c>
      <c r="BI61" s="65">
        <f>BÖLCSŐDE!BI61+FALUHÁZ!BI61+ÓVODA!BI61+PMH!BI61+ÖNKORMÁNYZAT!BI61</f>
        <v>29387300</v>
      </c>
      <c r="BJ61" s="65">
        <f>BÖLCSŐDE!BJ61+FALUHÁZ!BJ61+ÓVODA!BJ61+PMH!BJ61+ÖNKORMÁNYZAT!BJ61</f>
        <v>16694296</v>
      </c>
      <c r="BK61" s="65">
        <f>BÖLCSŐDE!BK61+FALUHÁZ!BK61+ÓVODA!BK61+PMH!BK61+ÖNKORMÁNYZAT!BK61</f>
        <v>28471458</v>
      </c>
      <c r="BL61" s="65">
        <f>BÖLCSŐDE!BL61+FALUHÁZ!BL61+ÓVODA!BL61+PMH!BL61+ÖNKORMÁNYZAT!BL61</f>
        <v>34165749.599999994</v>
      </c>
      <c r="BM61" s="65">
        <f>BÖLCSŐDE!BM61+FALUHÁZ!BM61+ÓVODA!BM61+PMH!BM61+ÖNKORMÁNYZAT!BM61</f>
        <v>89766666</v>
      </c>
      <c r="BN61" s="65">
        <f>BÖLCSŐDE!BN61+FALUHÁZ!BN61+ÓVODA!BN61+PMH!BN61+ÖNKORMÁNYZAT!BN61</f>
        <v>68196666</v>
      </c>
      <c r="BO61" s="65">
        <f>BÖLCSŐDE!BO61+FALUHÁZ!BO61+ÓVODA!BO61+PMH!BO61+ÖNKORMÁNYZAT!BO61</f>
        <v>47303734</v>
      </c>
      <c r="BP61" s="65">
        <f>BÖLCSŐDE!BP61+FALUHÁZ!BP61+ÓVODA!BP61+PMH!BP61+ÖNKORMÁNYZAT!BP61</f>
        <v>56764480.799999997</v>
      </c>
      <c r="BQ61" s="65">
        <f>BÖLCSŐDE!BQ61+FALUHÁZ!BQ61+ÓVODA!BQ61+PMH!BQ61+ÖNKORMÁNYZAT!BQ61</f>
        <v>62440928.88000001</v>
      </c>
      <c r="BR61" s="65">
        <f>BÖLCSŐDE!BR61+FALUHÁZ!BR61+ÓVODA!BR61+PMH!BR61+ÖNKORMÁNYZAT!BR61</f>
        <v>63846535</v>
      </c>
      <c r="BS61" s="65">
        <f>BÖLCSŐDE!BS61+FALUHÁZ!BS61+ÓVODA!BS61+PMH!BS61+ÖNKORMÁNYZAT!BS61</f>
        <v>63846535</v>
      </c>
      <c r="BT61" s="65">
        <f>BÖLCSŐDE!BT61+FALUHÁZ!BT61+ÓVODA!BT61+PMH!BT61+ÖNKORMÁNYZAT!BT61</f>
        <v>47884901.25</v>
      </c>
      <c r="BU61" s="65">
        <f>BÖLCSŐDE!BU61+FALUHÁZ!BU61+ÓVODA!BU61+PMH!BU61+ÖNKORMÁNYZAT!BU61</f>
        <v>47500000</v>
      </c>
      <c r="BV61" s="65">
        <f>BÖLCSŐDE!BV61+FALUHÁZ!BV61+ÓVODA!BV61+PMH!BV61+ÖNKORMÁNYZAT!BV61</f>
        <v>42500000</v>
      </c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</row>
    <row r="62" spans="1:92" s="39" customFormat="1" x14ac:dyDescent="0.25">
      <c r="A62" s="54" t="s">
        <v>701</v>
      </c>
      <c r="B62" s="448" t="s">
        <v>704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14"/>
      <c r="N62"/>
      <c r="O62" s="65"/>
      <c r="P62" s="65"/>
      <c r="Q62" s="65"/>
      <c r="R62" s="65"/>
      <c r="S62" s="65"/>
      <c r="T62" s="65"/>
      <c r="U62" s="65"/>
      <c r="V62" s="65"/>
      <c r="W62" s="65"/>
      <c r="X62" s="121"/>
      <c r="Y62"/>
      <c r="Z62"/>
      <c r="AA62" s="65"/>
      <c r="AB62" s="65"/>
      <c r="AC62" s="65"/>
      <c r="AD62" s="65"/>
      <c r="AE62" s="222"/>
      <c r="AF62" s="121"/>
      <c r="AG62" s="65"/>
      <c r="AH62" s="65"/>
      <c r="AI62" s="55"/>
      <c r="AJ62" s="55"/>
      <c r="AK62" s="55"/>
      <c r="AL62"/>
      <c r="AM62" s="55"/>
      <c r="AN62" s="55"/>
      <c r="AO62" s="55"/>
      <c r="AP62" s="55"/>
      <c r="AQ62" s="55"/>
      <c r="AR62" s="55"/>
      <c r="AS62" s="54"/>
      <c r="AT62" s="55"/>
      <c r="AU62" s="55"/>
      <c r="AV62" s="54"/>
      <c r="AW62" s="55"/>
      <c r="AX62" s="55"/>
      <c r="AY62" s="55"/>
      <c r="AZ62" s="55"/>
      <c r="BA62" s="55"/>
      <c r="BB62" s="501"/>
      <c r="BC62" s="501"/>
      <c r="BD62" s="501"/>
      <c r="BE62" s="501"/>
      <c r="BF62" s="501"/>
      <c r="BG62" s="383"/>
      <c r="BH62" s="65"/>
      <c r="BI62" s="65"/>
      <c r="BJ62" s="65"/>
      <c r="BK62" s="65"/>
      <c r="BL62" s="65">
        <f>BÖLCSŐDE!BL64+FALUHÁZ!BL64+ÓVODA!BL62+PMH!BL62+ÖNKORMÁNYZAT!BL62</f>
        <v>0</v>
      </c>
      <c r="BM62" s="65">
        <f>BÖLCSŐDE!BM64+FALUHÁZ!BM64+ÓVODA!BM62+PMH!BM62+ÖNKORMÁNYZAT!BM62</f>
        <v>50000</v>
      </c>
      <c r="BN62" s="65">
        <f>BÖLCSŐDE!BN62+FALUHÁZ!BN62+ÓVODA!BN62+PMH!BN62+ÖNKORMÁNYZAT!BN62</f>
        <v>23273334</v>
      </c>
      <c r="BO62" s="65">
        <f>BÖLCSŐDE!BO62+FALUHÁZ!BO62+ÓVODA!BO62+PMH!BO62+ÖNKORMÁNYZAT!BO62</f>
        <v>29090030</v>
      </c>
      <c r="BP62" s="65">
        <f>BÖLCSŐDE!BP62+FALUHÁZ!BP62+ÓVODA!BP62+PMH!BP62+ÖNKORMÁNYZAT!BP62</f>
        <v>34908036</v>
      </c>
      <c r="BQ62" s="65">
        <f>BÖLCSŐDE!BQ62+FALUHÁZ!BQ62+ÓVODA!BQ62+PMH!BQ62+ÖNKORMÁNYZAT!BQ62</f>
        <v>38398839.600000009</v>
      </c>
      <c r="BR62" s="65">
        <f>BÖLCSŐDE!BR62+FALUHÁZ!BR62+ÓVODA!BR62+PMH!BR62+ÖNKORMÁNYZAT!BR62</f>
        <v>39311850</v>
      </c>
      <c r="BS62" s="65">
        <f>BÖLCSŐDE!BS62+FALUHÁZ!BS62+ÓVODA!BS62+PMH!BS62+ÖNKORMÁNYZAT!BS62</f>
        <v>39311850</v>
      </c>
      <c r="BT62" s="65">
        <f>BÖLCSŐDE!BT62+FALUHÁZ!BT62+ÓVODA!BT62+PMH!BT62+ÖNKORMÁNYZAT!BT62</f>
        <v>35380665</v>
      </c>
      <c r="BU62" s="65">
        <f>BÖLCSŐDE!BU62+FALUHÁZ!BU62+ÓVODA!BU62+PMH!BU62+ÖNKORMÁNYZAT!BU62</f>
        <v>17680000</v>
      </c>
      <c r="BV62" s="65">
        <f>BÖLCSŐDE!BV62+FALUHÁZ!BV62+ÓVODA!BV62+PMH!BV62+ÖNKORMÁNYZAT!BV62</f>
        <v>17180000</v>
      </c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</row>
    <row r="63" spans="1:92" s="39" customFormat="1" x14ac:dyDescent="0.25">
      <c r="A63" s="54" t="s">
        <v>702</v>
      </c>
      <c r="B63" s="448" t="s">
        <v>705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14"/>
      <c r="N63"/>
      <c r="O63" s="65"/>
      <c r="P63" s="65"/>
      <c r="Q63" s="65"/>
      <c r="R63" s="65"/>
      <c r="S63" s="65"/>
      <c r="T63" s="65"/>
      <c r="U63" s="65"/>
      <c r="V63" s="65"/>
      <c r="W63" s="65"/>
      <c r="X63" s="121"/>
      <c r="Y63"/>
      <c r="Z63"/>
      <c r="AA63" s="65"/>
      <c r="AB63" s="65"/>
      <c r="AC63" s="65"/>
      <c r="AD63" s="65"/>
      <c r="AE63" s="222"/>
      <c r="AF63" s="121"/>
      <c r="AG63" s="65"/>
      <c r="AH63" s="65"/>
      <c r="AI63" s="55"/>
      <c r="AJ63" s="55"/>
      <c r="AK63" s="55"/>
      <c r="AL63"/>
      <c r="AM63" s="55"/>
      <c r="AN63" s="55"/>
      <c r="AO63" s="55"/>
      <c r="AP63" s="55"/>
      <c r="AQ63" s="55"/>
      <c r="AR63" s="55"/>
      <c r="AS63" s="54"/>
      <c r="AT63" s="55"/>
      <c r="AU63" s="55"/>
      <c r="AV63" s="54"/>
      <c r="AW63" s="55"/>
      <c r="AX63" s="55"/>
      <c r="AY63" s="55"/>
      <c r="AZ63" s="55"/>
      <c r="BA63" s="55"/>
      <c r="BB63" s="501"/>
      <c r="BC63" s="501"/>
      <c r="BD63" s="501"/>
      <c r="BE63" s="501"/>
      <c r="BF63" s="501"/>
      <c r="BG63" s="383"/>
      <c r="BH63" s="65"/>
      <c r="BI63" s="65"/>
      <c r="BJ63" s="65"/>
      <c r="BK63" s="65"/>
      <c r="BL63" s="65">
        <f>BÖLCSŐDE!BL65+FALUHÁZ!BL65+ÓVODA!BL63+PMH!BL63+ÖNKORMÁNYZAT!BL63</f>
        <v>328525.2</v>
      </c>
      <c r="BM63" s="65">
        <f>BÖLCSŐDE!BM65+FALUHÁZ!BM65+ÓVODA!BM63+PMH!BM63+ÖNKORMÁNYZAT!BM63</f>
        <v>450000</v>
      </c>
      <c r="BN63" s="65">
        <f>BÖLCSŐDE!BN63+FALUHÁZ!BN63+ÓVODA!BN63+PMH!BN63+ÖNKORMÁNYZAT!BN63</f>
        <v>4230000</v>
      </c>
      <c r="BO63" s="65">
        <f>BÖLCSŐDE!BO63+FALUHÁZ!BO63+ÓVODA!BO63+PMH!BO63+ÖNKORMÁNYZAT!BO63</f>
        <v>3026628</v>
      </c>
      <c r="BP63" s="65">
        <f>BÖLCSŐDE!BP63+FALUHÁZ!BP63+ÓVODA!BP63+PMH!BP63+ÖNKORMÁNYZAT!BP63</f>
        <v>3631953.6</v>
      </c>
      <c r="BQ63" s="65">
        <f>BÖLCSŐDE!BQ63+FALUHÁZ!BQ63+ÓVODA!BQ63+PMH!BQ63+ÖNKORMÁNYZAT!BQ63</f>
        <v>3995148.96</v>
      </c>
      <c r="BR63" s="65">
        <f>BÖLCSŐDE!BR63+FALUHÁZ!BR63+ÓVODA!BR63+PMH!BR63+ÖNKORMÁNYZAT!BR63</f>
        <v>3400000</v>
      </c>
      <c r="BS63" s="65">
        <f>BÖLCSŐDE!BS63+FALUHÁZ!BS63+ÓVODA!BS63+PMH!BS63+ÖNKORMÁNYZAT!BS63</f>
        <v>3400000</v>
      </c>
      <c r="BT63" s="65">
        <f>BÖLCSŐDE!BT63+FALUHÁZ!BT63+ÓVODA!BT63+PMH!BT63+ÖNKORMÁNYZAT!BT63</f>
        <v>7080000</v>
      </c>
      <c r="BU63" s="65">
        <f>BÖLCSŐDE!BU63+FALUHÁZ!BU63+ÓVODA!BU63+PMH!BU63+ÖNKORMÁNYZAT!BU63</f>
        <v>10800000</v>
      </c>
      <c r="BV63" s="65">
        <f>BÖLCSŐDE!BV63+FALUHÁZ!BV63+ÓVODA!BV63+PMH!BV63+ÖNKORMÁNYZAT!BV63</f>
        <v>8700000</v>
      </c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</row>
    <row r="64" spans="1:92" x14ac:dyDescent="0.25">
      <c r="A64" s="54" t="s">
        <v>231</v>
      </c>
      <c r="B64" s="55" t="s">
        <v>232</v>
      </c>
      <c r="C64" s="55"/>
      <c r="D64" s="55"/>
      <c r="E64" s="55"/>
      <c r="F64" s="55"/>
      <c r="G64" s="55">
        <f>BÖLCSŐDE!G64+FALUHÁZ!G64+ÓVODA!G62+PMH!G64+ÖNKORMÁNYZAT!G64</f>
        <v>129408</v>
      </c>
      <c r="H64" s="55">
        <f>BÖLCSŐDE!H64+FALUHÁZ!H64+ÓVODA!H62+PMH!H64+ÖNKORMÁNYZAT!H64</f>
        <v>91483</v>
      </c>
      <c r="I64" s="55">
        <f t="shared" si="0"/>
        <v>99799.636363636368</v>
      </c>
      <c r="J64" s="55">
        <v>0</v>
      </c>
      <c r="K64" s="55">
        <v>0</v>
      </c>
      <c r="L64" s="55">
        <f>BÖLCSŐDE!L64+FALUHÁZ!L64+ÓVODA!L62+PMH!L64+ÖNKORMÁNYZAT!L64</f>
        <v>0</v>
      </c>
      <c r="M64" s="1">
        <f t="shared" si="1"/>
        <v>0</v>
      </c>
      <c r="O64" s="55">
        <f>BÖLCSŐDE!O64+FALUHÁZ!N64+ÓVODA!O62+PMH!O64+ÖNKORMÁNYZAT!O64</f>
        <v>0</v>
      </c>
      <c r="P64" s="55">
        <f>BÖLCSŐDE!P64+FALUHÁZ!O64+ÓVODA!P62+PMH!P64+ÖNKORMÁNYZAT!P64</f>
        <v>0</v>
      </c>
      <c r="Q64" s="55">
        <f>BÖLCSŐDE!Q64+FALUHÁZ!P64+ÓVODA!Q62+PMH!Q64+ÖNKORMÁNYZAT!Q65</f>
        <v>215380</v>
      </c>
      <c r="R64" s="55">
        <f>BÖLCSŐDE!R64+FALUHÁZ!Q64+ÓVODA!R62+PMH!R64+ÖNKORMÁNYZAT!R64</f>
        <v>0</v>
      </c>
      <c r="S64" s="55">
        <f>BÖLCSŐDE!S64+FALUHÁZ!R64+ÓVODA!S62+PMH!S64+ÖNKORMÁNYZAT!S64</f>
        <v>0</v>
      </c>
      <c r="T64" s="55">
        <f>BÖLCSŐDE!T64+FALUHÁZ!S64+ÓVODA!T62+PMH!T64+ÖNKORMÁNYZAT!T64</f>
        <v>0</v>
      </c>
      <c r="U64" s="55">
        <f>BÖLCSŐDE!U64+FALUHÁZ!T64+ÓVODA!U62+PMH!U64+ÖNKORMÁNYZAT!U64</f>
        <v>0</v>
      </c>
      <c r="V64" s="55">
        <f>BÖLCSŐDE!V64+FALUHÁZ!U64+ÓVODA!V62+PMH!V64+ÖNKORMÁNYZAT!V64</f>
        <v>0</v>
      </c>
      <c r="W64" s="55">
        <f>BÖLCSŐDE!W64+FALUHÁZ!V64+ÓVODA!W62+PMH!W64+ÖNKORMÁNYZAT!W64</f>
        <v>0</v>
      </c>
      <c r="X64" s="122"/>
      <c r="AA64" s="55">
        <f>BÖLCSŐDE!AA64+FALUHÁZ!Z64+ÓVODA!AA62+PMH!AA64+ÖNKORMÁNYZAT!AA64</f>
        <v>0</v>
      </c>
      <c r="AB64" s="55">
        <f>BÖLCSŐDE!AB64+FALUHÁZ!AA64+ÓVODA!AB62+PMH!AB64+ÖNKORMÁNYZAT!AB64</f>
        <v>0</v>
      </c>
      <c r="AC64" s="55">
        <f>BÖLCSŐDE!AB64+FALUHÁZ!AA64+ÓVODA!AB62+PMH!AB64+ÖNKORMÁNYZAT!AB64</f>
        <v>0</v>
      </c>
      <c r="AD64" s="55">
        <f>BÖLCSŐDE!AC64+FALUHÁZ!AB64+ÓVODA!AC62+PMH!AC64+ÖNKORMÁNYZAT!AC64</f>
        <v>0</v>
      </c>
      <c r="AE64" s="223">
        <f>BÖLCSŐDE!AE64+FALUHÁZ!AD64+ÓVODA!AE62+PMH!AE64+ÖNKORMÁNYZAT!AD64</f>
        <v>0</v>
      </c>
      <c r="AF64" s="122"/>
      <c r="AG64" s="55">
        <f>BÖLCSŐDE!AG61+FALUHÁZ!AG61+ÓVODA!AG61+PMH!AG61+ÖNKORMÁNYZAT!AG61</f>
        <v>15385630</v>
      </c>
      <c r="AH64" s="55"/>
      <c r="AI64" s="55">
        <f>BÖLCSŐDE!AI64+FALUHÁZ!AJ64+ÓVODA!AI62+PMH!AI64+ÖNKORMÁNYZAT!AI64</f>
        <v>250000</v>
      </c>
      <c r="AJ64" s="55"/>
      <c r="AK64" s="55">
        <f>BÖLCSŐDE!AL64+FALUHÁZ!AK64+ÓVODA!AK62+PMH!AK64+ÖNKORMÁNYZAT!AK64</f>
        <v>250000</v>
      </c>
      <c r="AM64" s="55">
        <f>BÖLCSŐDE!AM64+FALUHÁZ!AM64+ÓVODA!AM62+PMH!AM64+ÖNKORMÁNYZAT!AM64</f>
        <v>0</v>
      </c>
      <c r="AN64" s="55">
        <f>BÖLCSŐDE!AN64+FALUHÁZ!AN64+ÓVODA!AP62+PMH!AN64+ÖNKORMÁNYZAT!AP64</f>
        <v>250000</v>
      </c>
      <c r="AO64" s="55">
        <f>BÖLCSŐDE!AO64+FALUHÁZ!AO64+ÓVODA!AQ62+PMH!AO64+ÖNKORMÁNYZAT!AQ64</f>
        <v>0</v>
      </c>
      <c r="AP64" s="55">
        <f>BÖLCSŐDE!AP64+FALUHÁZ!AP64+ÓVODA!AP62+PMH!AP64+ÖNKORMÁNYZAT!AP64</f>
        <v>250000</v>
      </c>
      <c r="AQ64" s="55">
        <f>BÖLCSŐDE!AQ64+FALUHÁZ!AQ64+ÓVODA!AQ62+PMH!AQ64+ÖNKORMÁNYZAT!AQ64</f>
        <v>0</v>
      </c>
      <c r="AR64" s="55">
        <f t="shared" si="4"/>
        <v>250000</v>
      </c>
      <c r="AS64" s="54">
        <f t="shared" si="5"/>
        <v>0</v>
      </c>
      <c r="AT64" s="55">
        <f>BÖLCSŐDE!AT64+FALUHÁZ!AT64+ÓVODA!AT62+PMH!AT64+ÖNKORMÁNYZAT!AT64</f>
        <v>0</v>
      </c>
      <c r="AU64" s="55">
        <f t="shared" si="6"/>
        <v>250000</v>
      </c>
      <c r="AV64" s="54">
        <f t="shared" si="7"/>
        <v>100</v>
      </c>
      <c r="AW64" s="55">
        <f>BÖLCSŐDE!AW64+FALUHÁZ!AW64+ÓVODA!AW62+PMH!AW64+ÖNKORMÁNYZAT!AW64</f>
        <v>250000</v>
      </c>
      <c r="AX64" s="55">
        <f>BÖLCSŐDE!AX64+FALUHÁZ!AX64+ÓVODA!AX62+PMH!AX64+ÖNKORMÁNYZAT!AX64</f>
        <v>250000</v>
      </c>
      <c r="AY64" s="55">
        <f>BÖLCSŐDE!AY64+FALUHÁZ!AY64+ÓVODA!AY62+PMH!AY64+ÖNKORMÁNYZAT!AY64</f>
        <v>250000</v>
      </c>
      <c r="AZ64" s="55">
        <f>BÖLCSŐDE!AZ64+FALUHÁZ!AZ64+ÓVODA!AZ62+PMH!AZ64+ÖNKORMÁNYZAT!AZ64</f>
        <v>250000</v>
      </c>
      <c r="BA64" s="55">
        <f>BÖLCSŐDE!BA64+FALUHÁZ!BA64+ÓVODA!BA62+PMH!BA64+ÖNKORMÁNYZAT!BA64</f>
        <v>250000</v>
      </c>
      <c r="BB64" s="501">
        <f>BÖLCSŐDE!BB64+FALUHÁZ!BB64+ÓVODA!BB62+PMH!BB64+ÖNKORMÁNYZAT!BB64</f>
        <v>250000</v>
      </c>
      <c r="BC64" s="501">
        <f>BÖLCSŐDE!BC64+FALUHÁZ!BC64+ÓVODA!BC62+PMH!BC64+ÖNKORMÁNYZAT!BC64</f>
        <v>250000</v>
      </c>
      <c r="BD64" s="501">
        <f>BÖLCSŐDE!BD64+FALUHÁZ!BD64+ÓVODA!BD62+PMH!BD64+ÖNKORMÁNYZAT!BD64</f>
        <v>0</v>
      </c>
      <c r="BE64" s="501">
        <f>BÖLCSŐDE!BE64+FALUHÁZ!BE64+ÓVODA!BE62+PMH!BE64+ÖNKORMÁNYZAT!BE64</f>
        <v>0</v>
      </c>
      <c r="BF64" s="501">
        <f>BÖLCSŐDE!BF64+FALUHÁZ!BF64+ÓVODA!BF62+PMH!BF64+ÖNKORMÁNYZAT!BF64</f>
        <v>0</v>
      </c>
      <c r="BG64" s="383">
        <f>BÖLCSŐDE!BG64+FALUHÁZ!BG64+ÓVODA!BG62+PMH!BG64+ÖNKORMÁNYZAT!BG64</f>
        <v>0</v>
      </c>
      <c r="BH64" s="65">
        <f>BÖLCSŐDE!BH64+FALUHÁZ!BH64+ÓVODA!BH62+PMH!BH64+ÖNKORMÁNYZAT!BH64</f>
        <v>50000</v>
      </c>
      <c r="BI64" s="65">
        <f>BÖLCSŐDE!BI64+FALUHÁZ!BI64+ÓVODA!BI62+PMH!BI64+ÖNKORMÁNYZAT!BI64</f>
        <v>50000</v>
      </c>
      <c r="BJ64" s="65">
        <f>BÖLCSŐDE!BJ64+FALUHÁZ!BJ64+ÓVODA!BJ62+PMH!BJ64+ÖNKORMÁNYZAT!BJ64</f>
        <v>0</v>
      </c>
      <c r="BK64" s="65">
        <f>BÖLCSŐDE!BK64+FALUHÁZ!BK64+ÓVODA!BK62+PMH!BK64+ÖNKORMÁNYZAT!BK64</f>
        <v>0</v>
      </c>
      <c r="BL64" s="65">
        <f>BÖLCSŐDE!BL64+FALUHÁZ!BL64+ÓVODA!BL62+PMH!BL64+ÖNKORMÁNYZAT!BL64</f>
        <v>0</v>
      </c>
      <c r="BM64" s="65">
        <f>BÖLCSŐDE!BM64+FALUHÁZ!BM64+ÓVODA!BM62+PMH!BM64+ÖNKORMÁNYZAT!BM64</f>
        <v>50000</v>
      </c>
      <c r="BN64" s="65">
        <f>BÖLCSŐDE!BN64+FALUHÁZ!BN64+ÓVODA!BN64+PMH!BN64+ÖNKORMÁNYZAT!BN64</f>
        <v>50000</v>
      </c>
      <c r="BO64" s="65">
        <f>BÖLCSŐDE!BO64+FALUHÁZ!BO64+ÓVODA!BO64+PMH!BO64+ÖNKORMÁNYZAT!BO64</f>
        <v>0</v>
      </c>
      <c r="BP64" s="65">
        <f>BÖLCSŐDE!BP64+FALUHÁZ!BP64+ÓVODA!BP64+PMH!BP64+ÖNKORMÁNYZAT!BP64</f>
        <v>0</v>
      </c>
      <c r="BQ64" s="65">
        <f>BÖLCSŐDE!BQ64+FALUHÁZ!BQ64+ÓVODA!BQ64+PMH!BQ64+ÖNKORMÁNYZAT!BQ64</f>
        <v>0</v>
      </c>
      <c r="BR64" s="65">
        <f>BÖLCSŐDE!BR64+FALUHÁZ!BR64+ÓVODA!BR64+PMH!BR64+ÖNKORMÁNYZAT!BR64</f>
        <v>0</v>
      </c>
      <c r="BS64" s="65">
        <f>BÖLCSŐDE!BS64+FALUHÁZ!BS64+ÓVODA!BS64+PMH!BS64+ÖNKORMÁNYZAT!BS64</f>
        <v>0</v>
      </c>
      <c r="BT64" s="65">
        <f>BÖLCSŐDE!BT64+FALUHÁZ!BT64+ÓVODA!BT64+PMH!BT64+ÖNKORMÁNYZAT!BT64</f>
        <v>0</v>
      </c>
      <c r="BU64" s="65">
        <f>BÖLCSŐDE!BU64+FALUHÁZ!BU64+ÓVODA!BU64+PMH!BU64+ÖNKORMÁNYZAT!BU64</f>
        <v>0</v>
      </c>
      <c r="BV64" s="65">
        <f>BÖLCSŐDE!BV64+FALUHÁZ!BV64+ÓVODA!BV64+PMH!BV64+ÖNKORMÁNYZAT!BV64</f>
        <v>0</v>
      </c>
    </row>
    <row r="65" spans="1:74" x14ac:dyDescent="0.25">
      <c r="A65" s="54" t="s">
        <v>46</v>
      </c>
      <c r="B65" s="55" t="s">
        <v>155</v>
      </c>
      <c r="C65" s="55">
        <f>BÖLCSŐDE!C65+FALUHÁZ!C65+ÓVODA!C63+PMH!C65+ÖNKORMÁNYZAT!C65</f>
        <v>676226</v>
      </c>
      <c r="D65" s="55">
        <f>BÖLCSŐDE!D65+FALUHÁZ!D65+ÓVODA!D63+PMH!D65+ÖNKORMÁNYZAT!D65</f>
        <v>889820</v>
      </c>
      <c r="E65" s="55">
        <f>BÖLCSŐDE!E65+FALUHÁZ!E65+ÓVODA!E63+PMH!E65+ÖNKORMÁNYZAT!E65</f>
        <v>1200000</v>
      </c>
      <c r="F65" s="55">
        <f>BÖLCSŐDE!F65+FALUHÁZ!F65+ÓVODA!F63+PMH!F65+ÖNKORMÁNYZAT!F65</f>
        <v>1168752</v>
      </c>
      <c r="G65" s="55">
        <f>BÖLCSŐDE!G65+FALUHÁZ!G65+ÓVODA!G63+PMH!G65+ÖNKORMÁNYZAT!G65</f>
        <v>1413595</v>
      </c>
      <c r="H65" s="65">
        <f>BÖLCSŐDE!H65+FALUHÁZ!H65+ÓVODA!H63+PMH!H65+ÖNKORMÁNYZAT!H65</f>
        <v>995358</v>
      </c>
      <c r="I65" s="55">
        <f t="shared" si="0"/>
        <v>1085845.0909090908</v>
      </c>
      <c r="J65" s="55">
        <v>2725470.0854700855</v>
      </c>
      <c r="K65" s="55">
        <v>3075470.0854700855</v>
      </c>
      <c r="L65" s="55">
        <f>BÖLCSŐDE!L65+FALUHÁZ!L65+ÓVODA!L63+PMH!L65+ÖNKORMÁNYZAT!L65</f>
        <v>1645470.0854700855</v>
      </c>
      <c r="M65" s="1">
        <f t="shared" si="1"/>
        <v>151.53819815057281</v>
      </c>
      <c r="O65" s="55">
        <f>BÖLCSŐDE!O65+FALUHÁZ!N65+ÓVODA!O63+PMH!O65+ÖNKORMÁNYZAT!O65</f>
        <v>1695470</v>
      </c>
      <c r="P65" s="55">
        <f>BÖLCSŐDE!P65+FALUHÁZ!O65+ÓVODA!P63+PMH!P65+ÖNKORMÁNYZAT!P65</f>
        <v>932993</v>
      </c>
      <c r="Q65" s="55">
        <f>BÖLCSŐDE!Q65+FALUHÁZ!P65+ÓVODA!Q63+PMH!Q65+ÖNKORMÁNYZAT!Q66</f>
        <v>1487910</v>
      </c>
      <c r="R65" s="55">
        <f>BÖLCSŐDE!R65+FALUHÁZ!Q65+ÓVODA!R63+PMH!R65+ÖNKORMÁNYZAT!R65</f>
        <v>1645000</v>
      </c>
      <c r="S65" s="55">
        <f>BÖLCSŐDE!S65+FALUHÁZ!R65+ÓVODA!S63+PMH!S65+ÖNKORMÁNYZAT!S65</f>
        <v>1595470</v>
      </c>
      <c r="T65" s="55">
        <f>BÖLCSŐDE!T65+FALUHÁZ!S65+ÓVODA!T63+PMH!T65+ÖNKORMÁNYZAT!T65</f>
        <v>1150911</v>
      </c>
      <c r="U65" s="55">
        <f>BÖLCSŐDE!U65+FALUHÁZ!T65+ÓVODA!U63+PMH!U65+ÖNKORMÁNYZAT!U65</f>
        <v>1645000</v>
      </c>
      <c r="V65" s="55">
        <f>BÖLCSŐDE!V65+FALUHÁZ!U65+ÓVODA!V63+PMH!V65+ÖNKORMÁNYZAT!V65</f>
        <v>1645000</v>
      </c>
      <c r="W65" s="55">
        <f>BÖLCSŐDE!W65+FALUHÁZ!V65+ÓVODA!W63+PMH!W65+ÖNKORMÁNYZAT!W65</f>
        <v>1235000</v>
      </c>
      <c r="X65" s="122">
        <f t="shared" si="2"/>
        <v>69.964194528875382</v>
      </c>
      <c r="AA65" s="55">
        <f>BÖLCSŐDE!AA65+FALUHÁZ!Z65+ÓVODA!AA63+PMH!AA65+ÖNKORMÁNYZAT!AA65</f>
        <v>1235000</v>
      </c>
      <c r="AB65" s="55">
        <f>BÖLCSŐDE!AB65+FALUHÁZ!AA65+ÓVODA!AB63+PMH!AB65+ÖNKORMÁNYZAT!AB65</f>
        <v>700414</v>
      </c>
      <c r="AC65" s="55">
        <f>BÖLCSŐDE!AB65+FALUHÁZ!AA65+ÓVODA!AB63+PMH!AB65+ÖNKORMÁNYZAT!AB65</f>
        <v>700414</v>
      </c>
      <c r="AD65" s="55">
        <f>BÖLCSŐDE!AC65+FALUHÁZ!AB65+ÓVODA!AC63+PMH!AC65+ÖNKORMÁNYZAT!AC65</f>
        <v>913626</v>
      </c>
      <c r="AE65" s="223">
        <f>BÖLCSŐDE!AE65+FALUHÁZ!AD65+ÓVODA!AE63+PMH!AE65+ÖNKORMÁNYZAT!AD65</f>
        <v>179966.25699264705</v>
      </c>
      <c r="AF65" s="122">
        <f t="shared" si="3"/>
        <v>73.977813765182191</v>
      </c>
      <c r="AG65" s="55">
        <f>BÖLCSŐDE!AG64+FALUHÁZ!AG64+ÓVODA!AG62+PMH!AG64+ÖNKORMÁNYZAT!AG64</f>
        <v>0</v>
      </c>
      <c r="AH65" s="55"/>
      <c r="AI65" s="55">
        <f>BÖLCSŐDE!AI65+FALUHÁZ!AJ65+ÓVODA!AI63+PMH!AI65+ÖNKORMÁNYZAT!AI65</f>
        <v>1485192.1680000001</v>
      </c>
      <c r="AJ65" s="55"/>
      <c r="AK65" s="55">
        <f>BÖLCSŐDE!AL65+FALUHÁZ!AK65+ÓVODA!AK63+PMH!AK65+ÖNKORMÁNYZAT!AK65</f>
        <v>1485192.1680000001</v>
      </c>
      <c r="AM65" s="55">
        <f>BÖLCSŐDE!AM65+FALUHÁZ!AM65+ÓVODA!AM63+PMH!AM65+ÖNKORMÁNYZAT!AM65</f>
        <v>1820488</v>
      </c>
      <c r="AN65" s="55">
        <f>BÖLCSŐDE!AN65+FALUHÁZ!AN65+ÓVODA!AP63+PMH!AN65+ÖNKORMÁNYZAT!AP65</f>
        <v>3745192</v>
      </c>
      <c r="AO65" s="55">
        <f>BÖLCSŐDE!AO65+FALUHÁZ!AO65+ÓVODA!AQ63+PMH!AO65+ÖNKORMÁNYZAT!AQ65</f>
        <v>2840759</v>
      </c>
      <c r="AP65" s="55">
        <f>BÖLCSŐDE!AP65+FALUHÁZ!AP65+ÓVODA!AP63+PMH!AP65+ÖNKORMÁNYZAT!AP65</f>
        <v>3745192</v>
      </c>
      <c r="AQ65" s="55">
        <f>BÖLCSŐDE!AQ65+FALUHÁZ!AQ65+ÓVODA!AQ63+PMH!AQ65+ÖNKORMÁNYZAT!AQ65</f>
        <v>3086874</v>
      </c>
      <c r="AR65" s="55">
        <f t="shared" si="4"/>
        <v>658318</v>
      </c>
      <c r="AS65" s="54">
        <f t="shared" si="5"/>
        <v>82.422316399266052</v>
      </c>
      <c r="AT65" s="55">
        <f>BÖLCSŐDE!AT65+FALUHÁZ!AT65+ÓVODA!AT63+PMH!AT65+ÖNKORMÁNYZAT!AT65</f>
        <v>3183059</v>
      </c>
      <c r="AU65" s="55">
        <f t="shared" si="6"/>
        <v>562133</v>
      </c>
      <c r="AV65" s="54">
        <f t="shared" si="7"/>
        <v>15.009457459056838</v>
      </c>
      <c r="AW65" s="55">
        <f>BÖLCSŐDE!AW65+FALUHÁZ!AW65+ÓVODA!AW63+PMH!AW65+ÖNKORMÁNYZAT!AW65</f>
        <v>1485192</v>
      </c>
      <c r="AX65" s="55">
        <f>BÖLCSŐDE!AX65+FALUHÁZ!AX65+ÓVODA!AX63+PMH!AX65+ÖNKORMÁNYZAT!AX65</f>
        <v>1485193</v>
      </c>
      <c r="AY65" s="55">
        <f>BÖLCSŐDE!AY65+FALUHÁZ!AY65+ÓVODA!AY63+PMH!AY65+ÖNKORMÁNYZAT!AY65</f>
        <v>1485193</v>
      </c>
      <c r="AZ65" s="55">
        <f>BÖLCSŐDE!AZ65+FALUHÁZ!AZ65+ÓVODA!AZ63+PMH!AZ65+ÖNKORMÁNYZAT!AZ65</f>
        <v>1485193</v>
      </c>
      <c r="BA65" s="55">
        <f>BÖLCSŐDE!BA65+FALUHÁZ!BA65+ÓVODA!BA63+PMH!BA65+ÖNKORMÁNYZAT!BA65</f>
        <v>1485193</v>
      </c>
      <c r="BB65" s="501">
        <f>BÖLCSŐDE!BB65+FALUHÁZ!BB65+ÓVODA!BB63+PMH!BB65+ÖNKORMÁNYZAT!BB65</f>
        <v>1485192</v>
      </c>
      <c r="BC65" s="501">
        <f>BÖLCSŐDE!BC65+FALUHÁZ!BC65+ÓVODA!BC63+PMH!BC65+ÖNKORMÁNYZAT!BC65</f>
        <v>2185192</v>
      </c>
      <c r="BD65" s="501">
        <f>BÖLCSŐDE!BD65+FALUHÁZ!BD65+ÓVODA!BD63+PMH!BD65+ÖNKORMÁNYZAT!BD65</f>
        <v>1264309</v>
      </c>
      <c r="BE65" s="501">
        <f>BÖLCSŐDE!BE65+FALUHÁZ!BE65+ÓVODA!BE63+PMH!BE65+ÖNKORMÁNYZAT!BE65</f>
        <v>1543073</v>
      </c>
      <c r="BF65" s="501">
        <f>BÖLCSŐDE!BF65+FALUHÁZ!BF65+ÓVODA!BF63+PMH!BF65+ÖNKORMÁNYZAT!BF65</f>
        <v>1817816</v>
      </c>
      <c r="BG65" s="383">
        <f>BÖLCSŐDE!BG65+FALUHÁZ!BG65+ÓVODA!BG63+PMH!BG65+ÖNKORMÁNYZAT!BG65</f>
        <v>2181379.2000000002</v>
      </c>
      <c r="BH65" s="65">
        <f>BÖLCSŐDE!BH65+FALUHÁZ!BH65+ÓVODA!BH63+PMH!BH65+ÖNKORMÁNYZAT!BH65</f>
        <v>1581207.3600000003</v>
      </c>
      <c r="BI65" s="65">
        <f>BÖLCSŐDE!BI65+FALUHÁZ!BI65+ÓVODA!BI63+PMH!BI65+ÖNKORMÁNYZAT!BI65</f>
        <v>1981207</v>
      </c>
      <c r="BJ65" s="65">
        <f>BÖLCSŐDE!BJ65+FALUHÁZ!BJ65+ÓVODA!BJ63+PMH!BJ65+ÖNKORMÁNYZAT!BJ65</f>
        <v>1028191</v>
      </c>
      <c r="BK65" s="65">
        <f>BÖLCSŐDE!BK65+FALUHÁZ!BK65+ÓVODA!BK63+PMH!BK65+ÖNKORMÁNYZAT!BK65</f>
        <v>1643464</v>
      </c>
      <c r="BL65" s="65">
        <f>BÖLCSŐDE!BL65+FALUHÁZ!BL65+ÓVODA!BL63+PMH!BL65+ÖNKORMÁNYZAT!BL65</f>
        <v>1972156.7999999998</v>
      </c>
      <c r="BM65" s="65">
        <f>BÖLCSŐDE!BM65+FALUHÁZ!BM65+ÓVODA!BM63+PMH!BM65+ÖNKORMÁNYZAT!BM65</f>
        <v>1650000</v>
      </c>
      <c r="BN65" s="65">
        <f>BÖLCSŐDE!BN65+FALUHÁZ!BN65+ÓVODA!BN65+PMH!BN65+ÖNKORMÁNYZAT!BN65</f>
        <v>2650000</v>
      </c>
      <c r="BO65" s="65">
        <f>BÖLCSŐDE!BO65+FALUHÁZ!BO65+ÓVODA!BO65+PMH!BO65+ÖNKORMÁNYZAT!BO65</f>
        <v>2689802</v>
      </c>
      <c r="BP65" s="65">
        <f>BÖLCSŐDE!BP65+FALUHÁZ!BP65+ÓVODA!BP65+PMH!BP65+ÖNKORMÁNYZAT!BP65</f>
        <v>3227762.4000000004</v>
      </c>
      <c r="BQ65" s="65">
        <f>BÖLCSŐDE!BQ65+FALUHÁZ!BQ65+ÓVODA!BQ65+PMH!BQ65+ÖNKORMÁNYZAT!BQ65</f>
        <v>3550538.6400000006</v>
      </c>
      <c r="BR65" s="65">
        <f>BÖLCSŐDE!BR65+FALUHÁZ!BR65+ÓVODA!BR65+PMH!BR65+ÖNKORMÁNYZAT!BR65</f>
        <v>3605905</v>
      </c>
      <c r="BS65" s="65">
        <f>BÖLCSŐDE!BS65+FALUHÁZ!BS65+ÓVODA!BS65+PMH!BS65+ÖNKORMÁNYZAT!BS65</f>
        <v>3605905</v>
      </c>
      <c r="BT65" s="65">
        <f>BÖLCSŐDE!BT65+FALUHÁZ!BT65+ÓVODA!BT65+PMH!BT65+ÖNKORMÁNYZAT!BT65</f>
        <v>3605905</v>
      </c>
      <c r="BU65" s="65">
        <f>BÖLCSŐDE!BU65+FALUHÁZ!BU65+ÓVODA!BU65+PMH!BU65+ÖNKORMÁNYZAT!BU65</f>
        <v>1400000</v>
      </c>
      <c r="BV65" s="65">
        <f>BÖLCSŐDE!BV65+FALUHÁZ!BV65+ÓVODA!BV65+PMH!BV65+ÖNKORMÁNYZAT!BV65</f>
        <v>2650000</v>
      </c>
    </row>
    <row r="66" spans="1:74" x14ac:dyDescent="0.25">
      <c r="A66" s="54" t="s">
        <v>47</v>
      </c>
      <c r="B66" s="55" t="s">
        <v>156</v>
      </c>
      <c r="C66" s="55">
        <f>BÖLCSŐDE!C66+FALUHÁZ!C66+ÓVODA!C66+PMH!C66+ÖNKORMÁNYZAT!C66</f>
        <v>8721577</v>
      </c>
      <c r="D66" s="55">
        <f>BÖLCSŐDE!D66+FALUHÁZ!D66+ÓVODA!D66+PMH!D66+ÖNKORMÁNYZAT!D66</f>
        <v>9656150</v>
      </c>
      <c r="E66" s="55">
        <f>BÖLCSŐDE!E66+FALUHÁZ!E66+ÓVODA!E66+PMH!E66+ÖNKORMÁNYZAT!E66</f>
        <v>8650000</v>
      </c>
      <c r="F66" s="55">
        <f>BÖLCSŐDE!F66+FALUHÁZ!F66+ÓVODA!F66+PMH!F66+ÖNKORMÁNYZAT!F66</f>
        <v>2137830</v>
      </c>
      <c r="G66" s="55">
        <f>BÖLCSŐDE!G66+FALUHÁZ!G66+ÓVODA!G66+PMH!G66+ÖNKORMÁNYZAT!G66</f>
        <v>3392489</v>
      </c>
      <c r="H66" s="55">
        <f>BÖLCSŐDE!H66+FALUHÁZ!H66+ÓVODA!H66+PMH!H66+ÖNKORMÁNYZAT!H66</f>
        <v>2587836</v>
      </c>
      <c r="I66" s="55">
        <f t="shared" si="0"/>
        <v>2823093.8181818184</v>
      </c>
      <c r="J66" s="55">
        <v>8220940.170940171</v>
      </c>
      <c r="K66" s="55">
        <v>3640940.170940171</v>
      </c>
      <c r="L66" s="55">
        <f>BÖLCSŐDE!L66+FALUHÁZ!L66+ÓVODA!L66+PMH!L66+ÖNKORMÁNYZAT!L66</f>
        <v>3640940.170940171</v>
      </c>
      <c r="M66" s="1">
        <f t="shared" si="1"/>
        <v>128.96986091964445</v>
      </c>
      <c r="O66" s="55">
        <f>BÖLCSŐDE!O66+FALUHÁZ!N66+ÓVODA!O66+PMH!O66+ÖNKORMÁNYZAT!O66</f>
        <v>3140940</v>
      </c>
      <c r="P66" s="55">
        <f>BÖLCSŐDE!P66+FALUHÁZ!O66+ÓVODA!P66+PMH!P66+ÖNKORMÁNYZAT!P66</f>
        <v>1188703</v>
      </c>
      <c r="Q66" s="55">
        <f>BÖLCSŐDE!Q66+FALUHÁZ!P66+ÓVODA!Q66+PMH!Q66+ÖNKORMÁNYZAT!Q66</f>
        <v>1217423</v>
      </c>
      <c r="R66" s="55">
        <f>BÖLCSŐDE!R66+FALUHÁZ!Q66+ÓVODA!R66+PMH!R66+ÖNKORMÁNYZAT!R66</f>
        <v>3640000</v>
      </c>
      <c r="S66" s="55">
        <f>BÖLCSŐDE!S66+FALUHÁZ!R66+ÓVODA!S66+PMH!S66+ÖNKORMÁNYZAT!S66</f>
        <v>2150940</v>
      </c>
      <c r="T66" s="55">
        <f>BÖLCSŐDE!T66+FALUHÁZ!S66+ÓVODA!T66+PMH!T66+ÖNKORMÁNYZAT!T66</f>
        <v>1809896</v>
      </c>
      <c r="U66" s="55">
        <f>BÖLCSŐDE!U66+FALUHÁZ!T66+ÓVODA!U66+PMH!U66+ÖNKORMÁNYZAT!U66</f>
        <v>3640000</v>
      </c>
      <c r="V66" s="55">
        <f>BÖLCSŐDE!V66+FALUHÁZ!U66+ÓVODA!V66+PMH!V66+ÖNKORMÁNYZAT!V66</f>
        <v>3640000</v>
      </c>
      <c r="W66" s="55">
        <f>BÖLCSŐDE!W66+FALUHÁZ!V66+ÓVODA!W66+PMH!W66+ÖNKORMÁNYZAT!W66</f>
        <v>3140000</v>
      </c>
      <c r="X66" s="122">
        <f t="shared" si="2"/>
        <v>49.722417582417584</v>
      </c>
      <c r="AA66" s="55">
        <f>BÖLCSŐDE!AA66+FALUHÁZ!Z66+ÓVODA!AA66+PMH!AA66+ÖNKORMÁNYZAT!AA66</f>
        <v>3140000</v>
      </c>
      <c r="AB66" s="55">
        <f>BÖLCSŐDE!AB66+FALUHÁZ!AA66+ÓVODA!AB66+PMH!AB66+ÖNKORMÁNYZAT!AB66</f>
        <v>1229156</v>
      </c>
      <c r="AC66" s="55">
        <f>BÖLCSŐDE!AB66+FALUHÁZ!AA66+ÓVODA!AB66+PMH!AB66+ÖNKORMÁNYZAT!AB66</f>
        <v>1229156</v>
      </c>
      <c r="AD66" s="55">
        <f>BÖLCSŐDE!AC66+FALUHÁZ!AB66+ÓVODA!AC66+PMH!AC66+ÖNKORMÁNYZAT!AC66</f>
        <v>1434935</v>
      </c>
      <c r="AE66" s="223">
        <f>BÖLCSŐDE!AE66+FALUHÁZ!AD66+ÓVODA!AE66+PMH!AE66+ÖNKORMÁNYZAT!AD66</f>
        <v>1171224.2610711665</v>
      </c>
      <c r="AF66" s="122">
        <f t="shared" si="3"/>
        <v>45.698566878980891</v>
      </c>
      <c r="AG66" s="55">
        <f>BÖLCSŐDE!AG65+FALUHÁZ!AG65+ÓVODA!AG63+PMH!AG65+ÖNKORMÁNYZAT!AG65</f>
        <v>1176429</v>
      </c>
      <c r="AH66" s="55"/>
      <c r="AI66" s="55">
        <f>BÖLCSŐDE!AI66+FALUHÁZ!AJ66+ÓVODA!AI66+PMH!AI66+ÖNKORMÁNYZAT!AI66</f>
        <v>2535402.7999999998</v>
      </c>
      <c r="AJ66" s="55"/>
      <c r="AK66" s="55">
        <f>BÖLCSŐDE!AL66+FALUHÁZ!AK66+ÓVODA!AK66+PMH!AK66+ÖNKORMÁNYZAT!AK66</f>
        <v>2735402.8</v>
      </c>
      <c r="AM66" s="55">
        <f>BÖLCSŐDE!AM66+FALUHÁZ!AM66+ÓVODA!AM66+PMH!AM66+ÖNKORMÁNYZAT!AM66</f>
        <v>1707518</v>
      </c>
      <c r="AN66" s="55">
        <f>BÖLCSŐDE!AN66+FALUHÁZ!AN66+ÓVODA!AP66+PMH!AN66+ÖNKORMÁNYZAT!AP66</f>
        <v>1049956</v>
      </c>
      <c r="AO66" s="55">
        <f>BÖLCSŐDE!AO66+FALUHÁZ!AO66+ÓVODA!AQ66+PMH!AO66+ÖNKORMÁNYZAT!AQ66</f>
        <v>572225</v>
      </c>
      <c r="AP66" s="55">
        <f>BÖLCSŐDE!AP66+FALUHÁZ!AP66+ÓVODA!AP66+PMH!AP66+ÖNKORMÁNYZAT!AP66</f>
        <v>1049956</v>
      </c>
      <c r="AQ66" s="55">
        <f>BÖLCSŐDE!AQ66+FALUHÁZ!AQ66+ÓVODA!AQ66+PMH!AQ66+ÖNKORMÁNYZAT!AQ66</f>
        <v>686625</v>
      </c>
      <c r="AR66" s="55">
        <f t="shared" si="4"/>
        <v>363331</v>
      </c>
      <c r="AS66" s="54">
        <f t="shared" si="5"/>
        <v>65.39559752980125</v>
      </c>
      <c r="AT66" s="55">
        <f>BÖLCSŐDE!AT66+FALUHÁZ!AT66+ÓVODA!AT66+PMH!AT66+ÖNKORMÁNYZAT!AT66</f>
        <v>686625</v>
      </c>
      <c r="AU66" s="55">
        <f t="shared" si="6"/>
        <v>363331</v>
      </c>
      <c r="AV66" s="54">
        <f t="shared" si="7"/>
        <v>34.60440247019875</v>
      </c>
      <c r="AW66" s="55">
        <f>BÖLCSŐDE!AW66+FALUHÁZ!AW66+ÓVODA!AW66+PMH!AW66+ÖNKORMÁNYZAT!AW66</f>
        <v>2735403</v>
      </c>
      <c r="AX66" s="55">
        <f>BÖLCSŐDE!AX66+FALUHÁZ!AX66+ÓVODA!AX66+PMH!AX66+ÖNKORMÁNYZAT!AX66</f>
        <v>2735403</v>
      </c>
      <c r="AY66" s="55">
        <f>BÖLCSŐDE!AY66+FALUHÁZ!AY66+ÓVODA!AY66+PMH!AY66+ÖNKORMÁNYZAT!AY66</f>
        <v>2735403</v>
      </c>
      <c r="AZ66" s="55">
        <f>BÖLCSŐDE!AZ66+FALUHÁZ!AZ66+ÓVODA!AZ66+PMH!AZ66+ÖNKORMÁNYZAT!AZ66</f>
        <v>3935403</v>
      </c>
      <c r="BA66" s="55">
        <f>BÖLCSŐDE!BA66+FALUHÁZ!BA66+ÓVODA!BA66+PMH!BA66+ÖNKORMÁNYZAT!BA66</f>
        <v>3935403</v>
      </c>
      <c r="BB66" s="501">
        <f>BÖLCSŐDE!BB66+FALUHÁZ!BB66+ÓVODA!BB66+PMH!BB66+ÖNKORMÁNYZAT!BB66</f>
        <v>3935403</v>
      </c>
      <c r="BC66" s="501">
        <f>BÖLCSŐDE!BC66+FALUHÁZ!BC66+ÓVODA!BC66+PMH!BC66+ÖNKORMÁNYZAT!BC66</f>
        <v>1158218</v>
      </c>
      <c r="BD66" s="501">
        <f>BÖLCSŐDE!BD66+FALUHÁZ!BD66+ÓVODA!BD66+PMH!BD66+ÖNKORMÁNYZAT!BD66</f>
        <v>14600</v>
      </c>
      <c r="BE66" s="501">
        <f>BÖLCSŐDE!BE66+FALUHÁZ!BE66+ÓVODA!BE66+PMH!BE66+ÖNKORMÁNYZAT!BE66</f>
        <v>14600</v>
      </c>
      <c r="BF66" s="501">
        <f>BÖLCSŐDE!BF66+FALUHÁZ!BF66+ÓVODA!BF66+PMH!BF66+ÖNKORMÁNYZAT!BF66</f>
        <v>14600</v>
      </c>
      <c r="BG66" s="383">
        <f>BÖLCSŐDE!BG66+FALUHÁZ!BG66+ÓVODA!BG66+PMH!BG66+ÖNKORMÁNYZAT!BG66</f>
        <v>17520</v>
      </c>
      <c r="BH66" s="65">
        <f>BÖLCSŐDE!BH66+FALUHÁZ!BH66+ÓVODA!BH66+PMH!BH66+ÖNKORMÁNYZAT!BH66</f>
        <v>2382635.2400000002</v>
      </c>
      <c r="BI66" s="65">
        <f>BÖLCSŐDE!BI66+FALUHÁZ!BI66+ÓVODA!BI66+PMH!BI66+ÖNKORMÁNYZAT!BI66</f>
        <v>1092605</v>
      </c>
      <c r="BJ66" s="65">
        <f>BÖLCSŐDE!BJ66+FALUHÁZ!BJ66+ÓVODA!BJ66+PMH!BJ66+ÖNKORMÁNYZAT!BJ66</f>
        <v>0</v>
      </c>
      <c r="BK66" s="65">
        <f>BÖLCSŐDE!BK66+FALUHÁZ!BK66+ÓVODA!BK66+PMH!BK66+ÖNKORMÁNYZAT!BK66</f>
        <v>0</v>
      </c>
      <c r="BL66" s="65">
        <f>BÖLCSŐDE!BL66+FALUHÁZ!BL66+ÓVODA!BL66+PMH!BL66+ÖNKORMÁNYZAT!BL66</f>
        <v>0</v>
      </c>
      <c r="BM66" s="65">
        <f>BÖLCSŐDE!BM66+FALUHÁZ!BM66+ÓVODA!BM66+PMH!BM66+ÖNKORMÁNYZAT!BM66</f>
        <v>1600000</v>
      </c>
      <c r="BN66" s="65">
        <f>BÖLCSŐDE!BN66+FALUHÁZ!BN66+ÓVODA!BN66+PMH!BN66+ÖNKORMÁNYZAT!BN66</f>
        <v>1600000</v>
      </c>
      <c r="BO66" s="65">
        <f>BÖLCSŐDE!BO66+FALUHÁZ!BO66+ÓVODA!BO66+PMH!BO66+ÖNKORMÁNYZAT!BO66</f>
        <v>820400</v>
      </c>
      <c r="BP66" s="65">
        <f>BÖLCSŐDE!BP66+FALUHÁZ!BP66+ÓVODA!BP66+PMH!BP66+ÖNKORMÁNYZAT!BP66</f>
        <v>984480</v>
      </c>
      <c r="BQ66" s="65">
        <f>BÖLCSŐDE!BQ66+FALUHÁZ!BQ66+ÓVODA!BQ66+PMH!BQ66+ÖNKORMÁNYZAT!BQ66</f>
        <v>1082928</v>
      </c>
      <c r="BR66" s="65">
        <f>BÖLCSŐDE!BR66+FALUHÁZ!BR66+ÓVODA!BR66+PMH!BR66+ÖNKORMÁNYZAT!BR66</f>
        <v>1000000</v>
      </c>
      <c r="BS66" s="65">
        <f>BÖLCSŐDE!BS66+FALUHÁZ!BS66+ÓVODA!BS66+PMH!BS66+ÖNKORMÁNYZAT!BS66</f>
        <v>1000000</v>
      </c>
      <c r="BT66" s="65">
        <f>BÖLCSŐDE!BT66+FALUHÁZ!BT66+ÓVODA!BT66+PMH!BT66+ÖNKORMÁNYZAT!BT66</f>
        <v>1000000</v>
      </c>
      <c r="BU66" s="65">
        <f>BÖLCSŐDE!BU66+FALUHÁZ!BU66+ÓVODA!BU66+PMH!BU66+ÖNKORMÁNYZAT!BU66</f>
        <v>11100000</v>
      </c>
      <c r="BV66" s="65">
        <f>BÖLCSŐDE!BV66+FALUHÁZ!BV66+ÓVODA!BV66+PMH!BV66+ÖNKORMÁNYZAT!BV66</f>
        <v>10300000</v>
      </c>
    </row>
    <row r="67" spans="1:74" x14ac:dyDescent="0.25">
      <c r="A67" s="54" t="s">
        <v>48</v>
      </c>
      <c r="B67" s="55" t="s">
        <v>157</v>
      </c>
      <c r="C67" s="55">
        <f>BÖLCSŐDE!C67+FALUHÁZ!C67+ÓVODA!C67+PMH!C67+ÖNKORMÁNYZAT!C67</f>
        <v>75441</v>
      </c>
      <c r="D67" s="55">
        <f>BÖLCSŐDE!D67+FALUHÁZ!D67+ÓVODA!D67+PMH!D67+ÖNKORMÁNYZAT!D67</f>
        <v>1315794</v>
      </c>
      <c r="E67" s="55">
        <f>BÖLCSŐDE!E67+FALUHÁZ!E67+ÓVODA!E67+PMH!E67+ÖNKORMÁNYZAT!E67</f>
        <v>75441</v>
      </c>
      <c r="F67" s="55">
        <f>BÖLCSŐDE!F67+FALUHÁZ!F67+ÓVODA!F67+PMH!F67+ÖNKORMÁNYZAT!F67</f>
        <v>122112</v>
      </c>
      <c r="G67" s="55">
        <f>BÖLCSŐDE!G67+FALUHÁZ!G67+ÓVODA!G67+PMH!G67+ÖNKORMÁNYZAT!G67</f>
        <v>229306</v>
      </c>
      <c r="H67" s="55">
        <f>BÖLCSŐDE!H67+FALUHÁZ!H67+ÓVODA!H67+PMH!H67+ÖNKORMÁNYZAT!H67</f>
        <v>122112</v>
      </c>
      <c r="I67" s="55">
        <f t="shared" si="0"/>
        <v>133213.09090909091</v>
      </c>
      <c r="J67" s="55">
        <v>39200</v>
      </c>
      <c r="K67" s="55">
        <v>0</v>
      </c>
      <c r="L67" s="55">
        <f>BÖLCSŐDE!L67+FALUHÁZ!L67+ÓVODA!L67+PMH!L67+ÖNKORMÁNYZAT!L67</f>
        <v>0</v>
      </c>
      <c r="M67" s="1">
        <f t="shared" si="1"/>
        <v>0</v>
      </c>
      <c r="O67" s="55">
        <f>BÖLCSŐDE!O67+FALUHÁZ!N67+ÓVODA!O67+PMH!O67+ÖNKORMÁNYZAT!O67</f>
        <v>27429</v>
      </c>
      <c r="P67" s="55">
        <f>BÖLCSŐDE!P67+FALUHÁZ!O67+ÓVODA!P67+PMH!P67+ÖNKORMÁNYZAT!P67</f>
        <v>0</v>
      </c>
      <c r="Q67" s="55">
        <f>BÖLCSŐDE!Q67+FALUHÁZ!P67+ÓVODA!Q67+PMH!Q67+ÖNKORMÁNYZAT!Q67</f>
        <v>0</v>
      </c>
      <c r="R67" s="55">
        <f>BÖLCSŐDE!R67+FALUHÁZ!Q67+ÓVODA!R67+PMH!R67+ÖNKORMÁNYZAT!R67</f>
        <v>0</v>
      </c>
      <c r="S67" s="55">
        <f>BÖLCSŐDE!S67+FALUHÁZ!R67+ÓVODA!S67+PMH!S67+ÖNKORMÁNYZAT!S67</f>
        <v>27429</v>
      </c>
      <c r="T67" s="55">
        <f>BÖLCSŐDE!T67+FALUHÁZ!S67+ÓVODA!T67+PMH!T67+ÖNKORMÁNYZAT!T67</f>
        <v>0</v>
      </c>
      <c r="U67" s="55">
        <f>BÖLCSŐDE!U67+FALUHÁZ!T67+ÓVODA!U67+PMH!U67+ÖNKORMÁNYZAT!U67</f>
        <v>0</v>
      </c>
      <c r="V67" s="55">
        <f>BÖLCSŐDE!V67+FALUHÁZ!U67+ÓVODA!V67+PMH!V67+ÖNKORMÁNYZAT!V67</f>
        <v>0</v>
      </c>
      <c r="W67" s="55">
        <f>BÖLCSŐDE!W67+FALUHÁZ!V67+ÓVODA!W67+PMH!W67+ÖNKORMÁNYZAT!W67</f>
        <v>0</v>
      </c>
      <c r="X67" s="122"/>
      <c r="AA67" s="55">
        <f>BÖLCSŐDE!AA67+FALUHÁZ!Z67+ÓVODA!AA67+PMH!AA67+ÖNKORMÁNYZAT!AA67</f>
        <v>0</v>
      </c>
      <c r="AB67" s="55">
        <f>BÖLCSŐDE!AB67+FALUHÁZ!AA67+ÓVODA!AB67+PMH!AB67+ÖNKORMÁNYZAT!AB67</f>
        <v>0</v>
      </c>
      <c r="AC67" s="55">
        <f>BÖLCSŐDE!AB67+FALUHÁZ!AA67+ÓVODA!AB67+PMH!AB67+ÖNKORMÁNYZAT!AB67</f>
        <v>0</v>
      </c>
      <c r="AD67" s="55">
        <f>BÖLCSŐDE!AC67+FALUHÁZ!AB67+ÓVODA!AC67+PMH!AC67+ÖNKORMÁNYZAT!AC67</f>
        <v>0</v>
      </c>
      <c r="AE67" s="223">
        <f>BÖLCSŐDE!AE67+FALUHÁZ!AD67+ÓVODA!AE67+PMH!AE67+ÖNKORMÁNYZAT!AD67</f>
        <v>0</v>
      </c>
      <c r="AF67" s="122"/>
      <c r="AG67" s="55">
        <f>BÖLCSŐDE!AG66+FALUHÁZ!AG66+ÓVODA!AG66+PMH!AG66+ÖNKORMÁNYZAT!AG66</f>
        <v>1484935</v>
      </c>
      <c r="AH67" s="55"/>
      <c r="AI67" s="55">
        <f>BÖLCSŐDE!AI67+FALUHÁZ!AJ67+ÓVODA!AI67+PMH!AI67+ÖNKORMÁNYZAT!AI67</f>
        <v>0</v>
      </c>
      <c r="AJ67" s="55"/>
      <c r="AK67" s="55">
        <f>BÖLCSŐDE!AL67+FALUHÁZ!AK67+ÓVODA!AK67+PMH!AK67+ÖNKORMÁNYZAT!AK67</f>
        <v>0</v>
      </c>
      <c r="AM67" s="55">
        <f>BÖLCSŐDE!AM67+FALUHÁZ!AM67+ÓVODA!AM67+PMH!AM67+ÖNKORMÁNYZAT!AM67</f>
        <v>0</v>
      </c>
      <c r="AN67" s="55">
        <f>BÖLCSŐDE!AN67+FALUHÁZ!AN67+ÓVODA!AP67+PMH!AN67+ÖNKORMÁNYZAT!AP67</f>
        <v>0</v>
      </c>
      <c r="AO67" s="55">
        <f>BÖLCSŐDE!AO67+FALUHÁZ!AO67+ÓVODA!AQ67+PMH!AO67+ÖNKORMÁNYZAT!AQ67</f>
        <v>0</v>
      </c>
      <c r="AP67" s="55">
        <f>BÖLCSŐDE!AP67+FALUHÁZ!AP67+ÓVODA!AP67+PMH!AP67+ÖNKORMÁNYZAT!AP67</f>
        <v>0</v>
      </c>
      <c r="AQ67" s="55">
        <f>BÖLCSŐDE!AQ67+FALUHÁZ!AQ67+ÓVODA!AQ67+PMH!AQ67+ÖNKORMÁNYZAT!AQ67</f>
        <v>0</v>
      </c>
      <c r="AR67" s="55">
        <f t="shared" si="4"/>
        <v>0</v>
      </c>
      <c r="AS67" s="54"/>
      <c r="AT67" s="55">
        <f>BÖLCSŐDE!AT67+FALUHÁZ!AT67+ÓVODA!AT67+PMH!AT67+ÖNKORMÁNYZAT!AT67</f>
        <v>0</v>
      </c>
      <c r="AU67" s="55"/>
      <c r="AV67" s="54"/>
      <c r="AW67" s="55">
        <f>BÖLCSŐDE!AW67+FALUHÁZ!AW67+ÓVODA!AW67+PMH!AW67+ÖNKORMÁNYZAT!AW67</f>
        <v>0</v>
      </c>
      <c r="AX67" s="55">
        <f>BÖLCSŐDE!AX67+FALUHÁZ!AX67+ÓVODA!AX67+PMH!AX67+ÖNKORMÁNYZAT!AX67</f>
        <v>0</v>
      </c>
      <c r="AY67" s="55">
        <f>BÖLCSŐDE!AY67+FALUHÁZ!AY67+ÓVODA!AY67+PMH!AY67+ÖNKORMÁNYZAT!AY67</f>
        <v>0</v>
      </c>
      <c r="AZ67" s="55">
        <f>BÖLCSŐDE!AZ67+FALUHÁZ!AZ67+ÓVODA!AZ67+PMH!AZ67+ÖNKORMÁNYZAT!AZ67</f>
        <v>0</v>
      </c>
      <c r="BA67" s="55">
        <f>BÖLCSŐDE!BA67+FALUHÁZ!BA67+ÓVODA!BA67+PMH!BA67+ÖNKORMÁNYZAT!BA67</f>
        <v>0</v>
      </c>
      <c r="BB67" s="501">
        <f>BÖLCSŐDE!BB67+FALUHÁZ!BB67+ÓVODA!BB67+PMH!BB67+ÖNKORMÁNYZAT!BB67</f>
        <v>0</v>
      </c>
      <c r="BC67" s="501">
        <f>BÖLCSŐDE!BC67+FALUHÁZ!BC67+ÓVODA!BC67+PMH!BC67+ÖNKORMÁNYZAT!BC67</f>
        <v>0</v>
      </c>
      <c r="BD67" s="501">
        <f>BÖLCSŐDE!BD67+FALUHÁZ!BD67+ÓVODA!BD67+PMH!BD67+ÖNKORMÁNYZAT!BD67</f>
        <v>0</v>
      </c>
      <c r="BE67" s="501">
        <f>BÖLCSŐDE!BE67+FALUHÁZ!BE67+ÓVODA!BE67+PMH!BE67+ÖNKORMÁNYZAT!BE67</f>
        <v>0</v>
      </c>
      <c r="BF67" s="501">
        <f>BÖLCSŐDE!BF67+FALUHÁZ!BF67+ÓVODA!BF67+PMH!BF67+ÖNKORMÁNYZAT!BF67</f>
        <v>0</v>
      </c>
      <c r="BG67" s="383">
        <f>BÖLCSŐDE!BG67+FALUHÁZ!BG67+ÓVODA!BG67+PMH!BG67+ÖNKORMÁNYZAT!BG67</f>
        <v>0</v>
      </c>
      <c r="BH67" s="65">
        <f>BÖLCSŐDE!BH67+FALUHÁZ!BH67+ÓVODA!BH67+PMH!BH67+ÖNKORMÁNYZAT!BH67</f>
        <v>0</v>
      </c>
      <c r="BI67" s="65">
        <f>BÖLCSŐDE!BI67+FALUHÁZ!BI67+ÓVODA!BI67+PMH!BI67+ÖNKORMÁNYZAT!BI67</f>
        <v>0</v>
      </c>
      <c r="BJ67" s="65">
        <f>BÖLCSŐDE!BJ67+FALUHÁZ!BJ67+ÓVODA!BJ67+PMH!BJ67+ÖNKORMÁNYZAT!BJ67</f>
        <v>0</v>
      </c>
      <c r="BK67" s="65">
        <f>BÖLCSŐDE!BK67+FALUHÁZ!BK67+ÓVODA!BK67+PMH!BK67+ÖNKORMÁNYZAT!BK67</f>
        <v>0</v>
      </c>
      <c r="BL67" s="65">
        <f>BÖLCSŐDE!BL67+FALUHÁZ!BL67+ÓVODA!BL67+PMH!BL67+ÖNKORMÁNYZAT!BL67</f>
        <v>0</v>
      </c>
      <c r="BM67" s="65">
        <f>BÖLCSŐDE!BM67+FALUHÁZ!BM67+ÓVODA!BM67+PMH!BM67+ÖNKORMÁNYZAT!BM67</f>
        <v>0</v>
      </c>
      <c r="BN67" s="65">
        <f>BÖLCSŐDE!BN67+FALUHÁZ!BN67+ÓVODA!BN67+PMH!BN67+ÖNKORMÁNYZAT!BN67</f>
        <v>0</v>
      </c>
      <c r="BO67" s="65">
        <f>BÖLCSŐDE!BO67+FALUHÁZ!BO67+ÓVODA!BO67+PMH!BO67+ÖNKORMÁNYZAT!BO67</f>
        <v>0</v>
      </c>
      <c r="BP67" s="65">
        <f>BÖLCSŐDE!BP67+FALUHÁZ!BP67+ÓVODA!BP67+PMH!BP67+ÖNKORMÁNYZAT!BP67</f>
        <v>0</v>
      </c>
      <c r="BQ67" s="65">
        <f>BÖLCSŐDE!BQ67+FALUHÁZ!BQ67+ÓVODA!BQ67+PMH!BQ67+ÖNKORMÁNYZAT!BQ67</f>
        <v>0</v>
      </c>
      <c r="BR67" s="65">
        <f>BÖLCSŐDE!BR67+FALUHÁZ!BR67+ÓVODA!BR67+PMH!BR67+ÖNKORMÁNYZAT!BR67</f>
        <v>0</v>
      </c>
      <c r="BS67" s="65">
        <f>BÖLCSŐDE!BS67+FALUHÁZ!BS67+ÓVODA!BS67+PMH!BS67+ÖNKORMÁNYZAT!BS67</f>
        <v>0</v>
      </c>
      <c r="BT67" s="65">
        <f>BÖLCSŐDE!BT67+FALUHÁZ!BT67+ÓVODA!BT67+PMH!BT67+ÖNKORMÁNYZAT!BT67</f>
        <v>0</v>
      </c>
      <c r="BU67" s="65">
        <f>BÖLCSŐDE!BU67+FALUHÁZ!BU67+ÓVODA!BU67+PMH!BU67+ÖNKORMÁNYZAT!BU67</f>
        <v>0</v>
      </c>
      <c r="BV67" s="65">
        <f>BÖLCSŐDE!BV67+FALUHÁZ!BV67+ÓVODA!BV67+PMH!BV67+ÖNKORMÁNYZAT!BV67</f>
        <v>0</v>
      </c>
    </row>
    <row r="68" spans="1:74" x14ac:dyDescent="0.25">
      <c r="A68" s="54" t="s">
        <v>233</v>
      </c>
      <c r="B68" s="55" t="s">
        <v>234</v>
      </c>
      <c r="C68" s="55"/>
      <c r="D68" s="55"/>
      <c r="E68" s="55"/>
      <c r="F68" s="55"/>
      <c r="G68" s="55">
        <f>BÖLCSŐDE!G68+FALUHÁZ!G68+ÓVODA!G68+PMH!G68+ÖNKORMÁNYZAT!G68</f>
        <v>4456986</v>
      </c>
      <c r="H68" s="55">
        <f>BÖLCSŐDE!H68+FALUHÁZ!H68+ÓVODA!H68+PMH!H68+ÖNKORMÁNYZAT!H68</f>
        <v>3137999</v>
      </c>
      <c r="I68" s="55">
        <f t="shared" si="0"/>
        <v>3423271.6363636362</v>
      </c>
      <c r="J68" s="55">
        <v>0</v>
      </c>
      <c r="K68" s="55">
        <v>1500000</v>
      </c>
      <c r="L68" s="55">
        <f>BÖLCSŐDE!L68+FALUHÁZ!L68+ÓVODA!L68+PMH!L68+ÖNKORMÁNYZAT!L68</f>
        <v>1500000</v>
      </c>
      <c r="M68" s="1">
        <f t="shared" si="1"/>
        <v>43.817732255491478</v>
      </c>
      <c r="O68" s="55">
        <f>BÖLCSŐDE!O68+FALUHÁZ!N68+ÓVODA!O68+PMH!O68+ÖNKORMÁNYZAT!O68</f>
        <v>500000</v>
      </c>
      <c r="P68" s="55">
        <f>BÖLCSŐDE!P68+FALUHÁZ!O68+ÓVODA!P68+PMH!P68+ÖNKORMÁNYZAT!P68</f>
        <v>144000</v>
      </c>
      <c r="Q68" s="55">
        <f>BÖLCSŐDE!Q68+FALUHÁZ!P68+ÓVODA!Q68+PMH!Q68+ÖNKORMÁNYZAT!Q68</f>
        <v>144000</v>
      </c>
      <c r="R68" s="55">
        <f>BÖLCSŐDE!R68+FALUHÁZ!Q68+ÓVODA!R68+PMH!R68+ÖNKORMÁNYZAT!R68</f>
        <v>1500000</v>
      </c>
      <c r="S68" s="55">
        <f>BÖLCSŐDE!S68+FALUHÁZ!R68+ÓVODA!S68+PMH!S68+ÖNKORMÁNYZAT!S68</f>
        <v>300000</v>
      </c>
      <c r="T68" s="55">
        <f>BÖLCSŐDE!T68+FALUHÁZ!S68+ÓVODA!T68+PMH!T68+ÖNKORMÁNYZAT!T68</f>
        <v>144000</v>
      </c>
      <c r="U68" s="55">
        <f>BÖLCSŐDE!U68+FALUHÁZ!T68+ÓVODA!U68+PMH!U68+ÖNKORMÁNYZAT!U68</f>
        <v>150000</v>
      </c>
      <c r="V68" s="55">
        <f>BÖLCSŐDE!V68+FALUHÁZ!U68+ÓVODA!V68+PMH!V68+ÖNKORMÁNYZAT!V68</f>
        <v>500000</v>
      </c>
      <c r="W68" s="55">
        <f>BÖLCSŐDE!W68+FALUHÁZ!V68+ÓVODA!W68+PMH!W68+ÖNKORMÁNYZAT!W68</f>
        <v>200000</v>
      </c>
      <c r="X68" s="122">
        <f t="shared" si="2"/>
        <v>28.799999999999997</v>
      </c>
      <c r="AA68" s="55">
        <f>BÖLCSŐDE!AA68+FALUHÁZ!Z68+ÓVODA!AA68+PMH!AA68+ÖNKORMÁNYZAT!AA68</f>
        <v>200000</v>
      </c>
      <c r="AB68" s="55">
        <f>BÖLCSŐDE!AB68+FALUHÁZ!AA68+ÓVODA!AB68+PMH!AB68+ÖNKORMÁNYZAT!AB68</f>
        <v>0</v>
      </c>
      <c r="AC68" s="55">
        <f>BÖLCSŐDE!AB68+FALUHÁZ!AA68+ÓVODA!AB68+PMH!AB68+ÖNKORMÁNYZAT!AB68</f>
        <v>0</v>
      </c>
      <c r="AD68" s="55">
        <f>BÖLCSŐDE!AC68+FALUHÁZ!AB68+ÓVODA!AC68+PMH!AC68+ÖNKORMÁNYZAT!AC68</f>
        <v>0</v>
      </c>
      <c r="AE68" s="223">
        <f>BÖLCSŐDE!AE68+FALUHÁZ!AD68+ÓVODA!AE68+PMH!AE68+ÖNKORMÁNYZAT!AD68</f>
        <v>0</v>
      </c>
      <c r="AF68" s="122">
        <f t="shared" si="3"/>
        <v>0</v>
      </c>
      <c r="AG68" s="55">
        <f>BÖLCSŐDE!AG67+FALUHÁZ!AG67+ÓVODA!AG67+PMH!AG67+ÖNKORMÁNYZAT!AG67</f>
        <v>0</v>
      </c>
      <c r="AH68" s="55"/>
      <c r="AI68" s="55">
        <f>BÖLCSŐDE!AI68+FALUHÁZ!AJ68+ÓVODA!AI68+PMH!AI68+ÖNKORMÁNYZAT!AI68</f>
        <v>1000000</v>
      </c>
      <c r="AJ68" s="55"/>
      <c r="AK68" s="55">
        <f>BÖLCSŐDE!AL68+FALUHÁZ!AK68+ÓVODA!AK68+PMH!AK68+ÖNKORMÁNYZAT!AK68</f>
        <v>0</v>
      </c>
      <c r="AM68" s="55">
        <f>BÖLCSŐDE!AM68+FALUHÁZ!AM68+ÓVODA!AM68+PMH!AM68+ÖNKORMÁNYZAT!AM68</f>
        <v>0</v>
      </c>
      <c r="AN68" s="55">
        <f>BÖLCSŐDE!AN68+FALUHÁZ!AN68+ÓVODA!AP68+PMH!AN68+ÖNKORMÁNYZAT!AP68</f>
        <v>0</v>
      </c>
      <c r="AO68" s="55">
        <f>BÖLCSŐDE!AO68+FALUHÁZ!AO68+ÓVODA!AQ68+PMH!AO68+ÖNKORMÁNYZAT!AQ68</f>
        <v>0</v>
      </c>
      <c r="AP68" s="55">
        <f>BÖLCSŐDE!AP68+FALUHÁZ!AP68+ÓVODA!AP68+PMH!AP68+ÖNKORMÁNYZAT!AP68</f>
        <v>0</v>
      </c>
      <c r="AQ68" s="55">
        <f>BÖLCSŐDE!AQ68+FALUHÁZ!AQ68+ÓVODA!AQ68+PMH!AQ68+ÖNKORMÁNYZAT!AQ68</f>
        <v>0</v>
      </c>
      <c r="AR68" s="55">
        <f t="shared" si="4"/>
        <v>0</v>
      </c>
      <c r="AS68" s="54"/>
      <c r="AT68" s="55">
        <f>BÖLCSŐDE!AT68+FALUHÁZ!AT68+ÓVODA!AT68+PMH!AT68+ÖNKORMÁNYZAT!AT68</f>
        <v>0</v>
      </c>
      <c r="AU68" s="55"/>
      <c r="AV68" s="54"/>
      <c r="AW68" s="55">
        <f>BÖLCSŐDE!AW68+FALUHÁZ!AW68+ÓVODA!AW68+PMH!AW68+ÖNKORMÁNYZAT!AW68</f>
        <v>0</v>
      </c>
      <c r="AX68" s="55">
        <f>BÖLCSŐDE!AX68+FALUHÁZ!AX68+ÓVODA!AX68+PMH!AX68+ÖNKORMÁNYZAT!AX68</f>
        <v>0</v>
      </c>
      <c r="AY68" s="55">
        <f>BÖLCSŐDE!AY68+FALUHÁZ!AY68+ÓVODA!AY68+PMH!AY68+ÖNKORMÁNYZAT!AY68</f>
        <v>0</v>
      </c>
      <c r="AZ68" s="55">
        <f>BÖLCSŐDE!AZ68+FALUHÁZ!AZ68+ÓVODA!AZ68+PMH!AZ68+ÖNKORMÁNYZAT!AZ68</f>
        <v>0</v>
      </c>
      <c r="BA68" s="55">
        <f>BÖLCSŐDE!BA68+FALUHÁZ!BA68+ÓVODA!BA68+PMH!BA68+ÖNKORMÁNYZAT!BA68</f>
        <v>0</v>
      </c>
      <c r="BB68" s="501">
        <f>BÖLCSŐDE!BB68+FALUHÁZ!BB68+ÓVODA!BB68+PMH!BB68+ÖNKORMÁNYZAT!BB68</f>
        <v>0</v>
      </c>
      <c r="BC68" s="501">
        <f>BÖLCSŐDE!BC68+FALUHÁZ!BC68+ÓVODA!BC68+PMH!BC68+ÖNKORMÁNYZAT!BC68</f>
        <v>0</v>
      </c>
      <c r="BD68" s="501">
        <f>BÖLCSŐDE!BD68+FALUHÁZ!BD68+ÓVODA!BD68+PMH!BD68+ÖNKORMÁNYZAT!BD68</f>
        <v>0</v>
      </c>
      <c r="BE68" s="501">
        <f>BÖLCSŐDE!BE68+FALUHÁZ!BE68+ÓVODA!BE68+PMH!BE68+ÖNKORMÁNYZAT!BE68</f>
        <v>0</v>
      </c>
      <c r="BF68" s="501">
        <f>BÖLCSŐDE!BF68+FALUHÁZ!BF68+ÓVODA!BF68+PMH!BF68+ÖNKORMÁNYZAT!BF68</f>
        <v>0</v>
      </c>
      <c r="BG68" s="383">
        <f>BÖLCSŐDE!BG68+FALUHÁZ!BG68+ÓVODA!BG68+PMH!BG68+ÖNKORMÁNYZAT!BG68</f>
        <v>0</v>
      </c>
      <c r="BH68" s="65">
        <f>BÖLCSŐDE!BH68+FALUHÁZ!BH68+ÓVODA!BH68+PMH!BH68+ÖNKORMÁNYZAT!BH68</f>
        <v>0</v>
      </c>
      <c r="BI68" s="65">
        <f>BÖLCSŐDE!BI68+FALUHÁZ!BI68+ÓVODA!BI68+PMH!BI68+ÖNKORMÁNYZAT!BI68</f>
        <v>0</v>
      </c>
      <c r="BJ68" s="65">
        <f>BÖLCSŐDE!BJ68+FALUHÁZ!BJ68+ÓVODA!BJ68+PMH!BJ68+ÖNKORMÁNYZAT!BJ68</f>
        <v>0</v>
      </c>
      <c r="BK68" s="65">
        <f>BÖLCSŐDE!BK68+FALUHÁZ!BK68+ÓVODA!BK68+PMH!BK68+ÖNKORMÁNYZAT!BK68</f>
        <v>0</v>
      </c>
      <c r="BL68" s="65">
        <f>BÖLCSŐDE!BL68+FALUHÁZ!BL68+ÓVODA!BL68+PMH!BL68+ÖNKORMÁNYZAT!BL68</f>
        <v>0</v>
      </c>
      <c r="BM68" s="65">
        <f>BÖLCSŐDE!BM68+FALUHÁZ!BM68+ÓVODA!BM68+PMH!BM68+ÖNKORMÁNYZAT!BM68</f>
        <v>0</v>
      </c>
      <c r="BN68" s="65">
        <f>BÖLCSŐDE!BN68+FALUHÁZ!BN68+ÓVODA!BN68+PMH!BN68+ÖNKORMÁNYZAT!BN68</f>
        <v>0</v>
      </c>
      <c r="BO68" s="65">
        <f>BÖLCSŐDE!BO68+FALUHÁZ!BO68+ÓVODA!BO68+PMH!BO68+ÖNKORMÁNYZAT!BO68</f>
        <v>0</v>
      </c>
      <c r="BP68" s="65">
        <f>BÖLCSŐDE!BP68+FALUHÁZ!BP68+ÓVODA!BP68+PMH!BP68+ÖNKORMÁNYZAT!BP68</f>
        <v>0</v>
      </c>
      <c r="BQ68" s="65">
        <f>BÖLCSŐDE!BQ68+FALUHÁZ!BQ68+ÓVODA!BQ68+PMH!BQ68+ÖNKORMÁNYZAT!BQ68</f>
        <v>0</v>
      </c>
      <c r="BR68" s="65">
        <f>BÖLCSŐDE!BR68+FALUHÁZ!BR68+ÓVODA!BR68+PMH!BR68+ÖNKORMÁNYZAT!BR68</f>
        <v>500000</v>
      </c>
      <c r="BS68" s="65">
        <f>BÖLCSŐDE!BS68+FALUHÁZ!BS68+ÓVODA!BS68+PMH!BS68+ÖNKORMÁNYZAT!BS68</f>
        <v>500000</v>
      </c>
      <c r="BT68" s="65">
        <f>BÖLCSŐDE!BT68+FALUHÁZ!BT68+ÓVODA!BT68+PMH!BT68+ÖNKORMÁNYZAT!BT68</f>
        <v>500000</v>
      </c>
      <c r="BU68" s="65">
        <f>BÖLCSŐDE!BU68+FALUHÁZ!BU68+ÓVODA!BU68+PMH!BU68+ÖNKORMÁNYZAT!BU68</f>
        <v>7740000</v>
      </c>
      <c r="BV68" s="65">
        <f>BÖLCSŐDE!BV68+FALUHÁZ!BV68+ÓVODA!BV68+PMH!BV68+ÖNKORMÁNYZAT!BV68</f>
        <v>8000000</v>
      </c>
    </row>
    <row r="69" spans="1:74" x14ac:dyDescent="0.25">
      <c r="A69" s="54" t="s">
        <v>49</v>
      </c>
      <c r="B69" s="55" t="s">
        <v>158</v>
      </c>
      <c r="C69" s="55">
        <f>BÖLCSŐDE!C69+FALUHÁZ!C69+ÓVODA!C69+PMH!C69+ÖNKORMÁNYZAT!C69</f>
        <v>63629629</v>
      </c>
      <c r="D69" s="55">
        <f>BÖLCSŐDE!D69+FALUHÁZ!D69+ÓVODA!D69+PMH!D69+ÖNKORMÁNYZAT!D69</f>
        <v>38226484</v>
      </c>
      <c r="E69" s="55">
        <f>BÖLCSŐDE!E69+FALUHÁZ!E69+ÓVODA!E69+PMH!E69+ÖNKORMÁNYZAT!E69</f>
        <v>55192355</v>
      </c>
      <c r="F69" s="55">
        <f>BÖLCSŐDE!F69+FALUHÁZ!F69+ÓVODA!F69+PMH!F69+ÖNKORMÁNYZAT!F69</f>
        <v>43241246</v>
      </c>
      <c r="G69" s="55">
        <f>BÖLCSŐDE!G69+FALUHÁZ!G69+ÓVODA!G69+PMH!G69+ÖNKORMÁNYZAT!G69</f>
        <v>52106553</v>
      </c>
      <c r="H69" s="55">
        <f>BÖLCSŐDE!H69+FALUHÁZ!H69+ÓVODA!H69+PMH!H69+ÖNKORMÁNYZAT!H69</f>
        <v>43635274</v>
      </c>
      <c r="I69" s="55">
        <f t="shared" si="0"/>
        <v>47602117.090909094</v>
      </c>
      <c r="J69" s="55">
        <v>56064030.068376064</v>
      </c>
      <c r="K69" s="55">
        <v>54154376.068376064</v>
      </c>
      <c r="L69" s="55">
        <f>BÖLCSŐDE!L69+FALUHÁZ!L69+ÓVODA!L69+PMH!L69+ÖNKORMÁNYZAT!L69</f>
        <v>52554376.068376102</v>
      </c>
      <c r="M69" s="1">
        <f t="shared" si="1"/>
        <v>110.40344270404891</v>
      </c>
      <c r="O69" s="55">
        <f>BÖLCSŐDE!O69+FALUHÁZ!N69+ÓVODA!O69+PMH!O69+ÖNKORMÁNYZAT!O69</f>
        <v>57594063</v>
      </c>
      <c r="P69" s="55">
        <f>BÖLCSŐDE!P69+FALUHÁZ!O69+ÓVODA!P69+PMH!P69+ÖNKORMÁNYZAT!P69</f>
        <v>46128337</v>
      </c>
      <c r="Q69" s="55">
        <f>BÖLCSŐDE!Q69+FALUHÁZ!P69+ÓVODA!Q69+PMH!Q69+ÖNKORMÁNYZAT!Q69</f>
        <v>49702337</v>
      </c>
      <c r="R69" s="55">
        <f>BÖLCSŐDE!R69+FALUHÁZ!Q69+ÓVODA!R69+PMH!R69+ÖNKORMÁNYZAT!R69</f>
        <v>54696000</v>
      </c>
      <c r="S69" s="55">
        <f>BÖLCSŐDE!S69+FALUHÁZ!R69+ÓVODA!S69+PMH!S69+ÖNKORMÁNYZAT!S69</f>
        <v>63539604</v>
      </c>
      <c r="T69" s="55">
        <f>BÖLCSŐDE!T69+FALUHÁZ!S69+ÓVODA!T69+PMH!T69+ÖNKORMÁNYZAT!T69</f>
        <v>58519950</v>
      </c>
      <c r="U69" s="55">
        <f>BÖLCSŐDE!U69+FALUHÁZ!T69+ÓVODA!U69+PMH!U69+ÖNKORMÁNYZAT!U69</f>
        <v>54214000</v>
      </c>
      <c r="V69" s="55">
        <f>BÖLCSŐDE!V69+FALUHÁZ!U69+ÓVODA!V69+PMH!V69+ÖNKORMÁNYZAT!V69</f>
        <v>51214000</v>
      </c>
      <c r="W69" s="55">
        <f>BÖLCSŐDE!W69+FALUHÁZ!V69+ÓVODA!W69+PMH!W69+ÖNKORMÁNYZAT!W69</f>
        <v>49441000</v>
      </c>
      <c r="X69" s="122">
        <f t="shared" si="2"/>
        <v>114.26553286210802</v>
      </c>
      <c r="AA69" s="55">
        <f>BÖLCSŐDE!AA69+FALUHÁZ!Z69+ÓVODA!AA69+PMH!AA69+ÖNKORMÁNYZAT!AA69</f>
        <v>50441000</v>
      </c>
      <c r="AB69" s="55">
        <f>BÖLCSŐDE!AB69+FALUHÁZ!AA69+ÓVODA!AB69+PMH!AB69+ÖNKORMÁNYZAT!AB69</f>
        <v>30147122</v>
      </c>
      <c r="AC69" s="55">
        <f>BÖLCSŐDE!AB69+FALUHÁZ!AA69+ÓVODA!AB69+PMH!AB69+ÖNKORMÁNYZAT!AB69</f>
        <v>30147122</v>
      </c>
      <c r="AD69" s="55">
        <f>BÖLCSŐDE!AC69+FALUHÁZ!AB69+ÓVODA!AC69+PMH!AC69+ÖNKORMÁNYZAT!AC69</f>
        <v>44457939</v>
      </c>
      <c r="AE69" s="223">
        <f>BÖLCSŐDE!AE69+FALUHÁZ!AD69+ÓVODA!AE69+PMH!AE69+ÖNKORMÁNYZAT!AD69</f>
        <v>29297796.320026394</v>
      </c>
      <c r="AF69" s="122">
        <f t="shared" si="3"/>
        <v>88.138496461212114</v>
      </c>
      <c r="AG69" s="55">
        <f>BÖLCSŐDE!AG68+FALUHÁZ!AG68+ÓVODA!AG68+PMH!AG68+ÖNKORMÁNYZAT!AG68</f>
        <v>0</v>
      </c>
      <c r="AH69" s="55"/>
      <c r="AI69" s="55">
        <f>BÖLCSŐDE!AI69+FALUHÁZ!AJ69+ÓVODA!AI69+PMH!AI69+ÖNKORMÁNYZAT!AI69</f>
        <v>82629037.775999993</v>
      </c>
      <c r="AJ69" s="55"/>
      <c r="AK69" s="55">
        <f>BÖLCSŐDE!AL69+FALUHÁZ!AK69+ÓVODA!AK69+PMH!AK69+ÖNKORMÁNYZAT!AK69</f>
        <v>64379037.776000001</v>
      </c>
      <c r="AM69" s="55">
        <f>BÖLCSŐDE!AM69+FALUHÁZ!AM69+ÓVODA!AM69+PMH!AM69+ÖNKORMÁNYZAT!AM69</f>
        <v>84949890</v>
      </c>
      <c r="AN69" s="55">
        <f>BÖLCSŐDE!AN69+FALUHÁZ!AN69+ÓVODA!AP69+PMH!AN69+ÖNKORMÁNYZAT!AP69</f>
        <v>85754152</v>
      </c>
      <c r="AO69" s="55">
        <f>BÖLCSŐDE!AO69+FALUHÁZ!AO69+ÓVODA!AQ69+PMH!AO69+ÖNKORMÁNYZAT!AQ69</f>
        <v>57966638</v>
      </c>
      <c r="AP69" s="55">
        <f>BÖLCSŐDE!AP69+FALUHÁZ!AP69+ÓVODA!AP69+PMH!AP69+ÖNKORMÁNYZAT!AP69</f>
        <v>85654152</v>
      </c>
      <c r="AQ69" s="55">
        <f>BÖLCSŐDE!AQ69+FALUHÁZ!AQ69+ÓVODA!AQ69+PMH!AQ69+ÖNKORMÁNYZAT!AQ69</f>
        <v>63756563</v>
      </c>
      <c r="AR69" s="55">
        <f t="shared" si="4"/>
        <v>21897589</v>
      </c>
      <c r="AS69" s="54">
        <f t="shared" si="5"/>
        <v>74.43487736589816</v>
      </c>
      <c r="AT69" s="55">
        <f>BÖLCSŐDE!AT69+FALUHÁZ!AT69+ÓVODA!AT69+PMH!AT69+ÖNKORMÁNYZAT!AT69</f>
        <v>72584284</v>
      </c>
      <c r="AU69" s="55">
        <f t="shared" si="6"/>
        <v>13069868</v>
      </c>
      <c r="AV69" s="54">
        <f t="shared" si="7"/>
        <v>15.2588843562423</v>
      </c>
      <c r="AW69" s="55">
        <f>BÖLCSŐDE!AW69+FALUHÁZ!AW69+ÓVODA!AW69+PMH!AW69+ÖNKORMÁNYZAT!AW69</f>
        <v>64379038</v>
      </c>
      <c r="AX69" s="55">
        <f>BÖLCSŐDE!AX69+FALUHÁZ!AX69+ÓVODA!AX69+PMH!AX69+ÖNKORMÁNYZAT!AX69</f>
        <v>60479038</v>
      </c>
      <c r="AY69" s="66">
        <f>BÖLCSŐDE!AY69+FALUHÁZ!AY69+ÓVODA!AY69+PMH!AY69+ÖNKORMÁNYZAT!AY69</f>
        <v>60479038</v>
      </c>
      <c r="AZ69" s="55">
        <f>BÖLCSŐDE!AZ69+FALUHÁZ!AZ69+ÓVODA!AZ69+PMH!AZ69+ÖNKORMÁNYZAT!AZ69</f>
        <v>61479038</v>
      </c>
      <c r="BA69" s="55">
        <f>BÖLCSŐDE!BA69+FALUHÁZ!BA69+ÓVODA!BA69+PMH!BA69+ÖNKORMÁNYZAT!BA69</f>
        <v>61479038</v>
      </c>
      <c r="BB69" s="501">
        <f>BÖLCSŐDE!BB69+FALUHÁZ!BB69+ÓVODA!BB69+PMH!BB69+ÖNKORMÁNYZAT!BB69</f>
        <v>61479038</v>
      </c>
      <c r="BC69" s="501">
        <f>BÖLCSŐDE!BC69+FALUHÁZ!BC69+ÓVODA!BC69+PMH!BC69+ÖNKORMÁNYZAT!BC69</f>
        <v>88225947</v>
      </c>
      <c r="BD69" s="501">
        <f>BÖLCSŐDE!BD69+FALUHÁZ!BD69+ÓVODA!BD69+PMH!BD69+ÖNKORMÁNYZAT!BD69</f>
        <v>43107683</v>
      </c>
      <c r="BE69" s="501">
        <f>BÖLCSŐDE!BE69+FALUHÁZ!BE69+ÓVODA!BE69+PMH!BE69+ÖNKORMÁNYZAT!BE69</f>
        <v>61010500</v>
      </c>
      <c r="BF69" s="501">
        <f>BÖLCSŐDE!BF69+FALUHÁZ!BF69+ÓVODA!BF69+PMH!BF69+ÖNKORMÁNYZAT!BF69</f>
        <v>66855527</v>
      </c>
      <c r="BG69" s="383">
        <f>BÖLCSŐDE!BG69+FALUHÁZ!BG69+ÓVODA!BG69+PMH!BG69+ÖNKORMÁNYZAT!BG69</f>
        <v>80226632.400000006</v>
      </c>
      <c r="BH69" s="65">
        <f>BÖLCSŐDE!BH69+FALUHÁZ!BH69+ÓVODA!BH69+PMH!BH69+ÖNKORMÁNYZAT!BH69</f>
        <v>68288361.040000007</v>
      </c>
      <c r="BI69" s="65">
        <f>BÖLCSŐDE!BI69+FALUHÁZ!BI69+ÓVODA!BI69+PMH!BI69+ÖNKORMÁNYZAT!BI69</f>
        <v>132054199</v>
      </c>
      <c r="BJ69" s="65">
        <f>BÖLCSŐDE!BJ69+FALUHÁZ!BJ69+ÓVODA!BJ69+PMH!BJ69+ÖNKORMÁNYZAT!BJ69</f>
        <v>41913842</v>
      </c>
      <c r="BK69" s="65">
        <f>BÖLCSŐDE!BK69+FALUHÁZ!BK69+ÓVODA!BK69+PMH!BK69+ÖNKORMÁNYZAT!BK69</f>
        <v>79059657</v>
      </c>
      <c r="BL69" s="65">
        <f>BÖLCSŐDE!BL69+FALUHÁZ!BL69+ÓVODA!BL69+PMH!BL69+ÖNKORMÁNYZAT!BL69</f>
        <v>94871588.400000006</v>
      </c>
      <c r="BM69" s="65">
        <f>BÖLCSŐDE!BM69+FALUHÁZ!BM69+ÓVODA!BM69+PMH!BM69+ÖNKORMÁNYZAT!BM69</f>
        <v>54250000</v>
      </c>
      <c r="BN69" s="65">
        <f>BÖLCSŐDE!BN69+FALUHÁZ!BN69+ÓVODA!BN69+PMH!BN69+ÖNKORMÁNYZAT!BN69</f>
        <v>54250000</v>
      </c>
      <c r="BO69" s="65">
        <f>BÖLCSŐDE!BO69+FALUHÁZ!BO69+ÓVODA!BO69+PMH!BO69+ÖNKORMÁNYZAT!BO69</f>
        <v>68337025</v>
      </c>
      <c r="BP69" s="65">
        <f>BÖLCSŐDE!BP69+FALUHÁZ!BP69+ÓVODA!BP69+PMH!BP69+ÖNKORMÁNYZAT!BP69</f>
        <v>82004430</v>
      </c>
      <c r="BQ69" s="65">
        <f>BÖLCSŐDE!BQ69+FALUHÁZ!BQ69+ÓVODA!BQ69+PMH!BQ69+ÖNKORMÁNYZAT!BQ69</f>
        <v>90204873</v>
      </c>
      <c r="BR69" s="65">
        <f>BÖLCSŐDE!BR69+FALUHÁZ!BR69+ÓVODA!BR69+PMH!BR69+ÖNKORMÁNYZAT!BR69</f>
        <v>101730000</v>
      </c>
      <c r="BS69" s="65">
        <f>BÖLCSŐDE!BS69+FALUHÁZ!BS69+ÓVODA!BS69+PMH!BS69+ÖNKORMÁNYZAT!BS69</f>
        <v>101730000</v>
      </c>
      <c r="BT69" s="65">
        <f>BÖLCSŐDE!BT69+FALUHÁZ!BT69+ÓVODA!BT69+PMH!BT69+ÖNKORMÁNYZAT!BT69</f>
        <v>72314000</v>
      </c>
      <c r="BU69" s="65">
        <f>BÖLCSŐDE!BU69+FALUHÁZ!BU69+ÓVODA!BU69+PMH!BU69+ÖNKORMÁNYZAT!BU69</f>
        <v>77322795</v>
      </c>
      <c r="BV69" s="65">
        <f>BÖLCSŐDE!BV69+FALUHÁZ!BV69+ÓVODA!BV69+PMH!BV69+ÖNKORMÁNYZAT!BV69</f>
        <v>85735000</v>
      </c>
    </row>
    <row r="70" spans="1:74" x14ac:dyDescent="0.25">
      <c r="A70" s="54" t="s">
        <v>50</v>
      </c>
      <c r="B70" s="55" t="s">
        <v>159</v>
      </c>
      <c r="C70" s="55">
        <f>BÖLCSŐDE!C70+FALUHÁZ!C70+ÓVODA!C70+PMH!C70+ÖNKORMÁNYZAT!C70</f>
        <v>1986170</v>
      </c>
      <c r="D70" s="55">
        <f>BÖLCSŐDE!D70+FALUHÁZ!D70+ÓVODA!D70+PMH!D70+ÖNKORMÁNYZAT!D70</f>
        <v>1447626</v>
      </c>
      <c r="E70" s="55">
        <f>BÖLCSŐDE!E70+FALUHÁZ!E70+ÓVODA!E70+PMH!E70+ÖNKORMÁNYZAT!E70</f>
        <v>1996170</v>
      </c>
      <c r="F70" s="55">
        <f>BÖLCSŐDE!F70+FALUHÁZ!F70+ÓVODA!F70+PMH!F70+ÖNKORMÁNYZAT!F70</f>
        <v>589265</v>
      </c>
      <c r="G70" s="55">
        <f>BÖLCSŐDE!G70+FALUHÁZ!G70+ÓVODA!G70+PMH!G70+ÖNKORMÁNYZAT!G70</f>
        <v>2544820</v>
      </c>
      <c r="H70" s="55">
        <f>BÖLCSŐDE!H70+FALUHÁZ!H70+ÓVODA!H70+PMH!H70+ÖNKORMÁNYZAT!H70</f>
        <v>755785</v>
      </c>
      <c r="I70" s="55">
        <f t="shared" si="0"/>
        <v>824492.72727272729</v>
      </c>
      <c r="J70" s="55">
        <v>1935000</v>
      </c>
      <c r="K70" s="55">
        <v>1260000</v>
      </c>
      <c r="L70" s="55">
        <f>BÖLCSŐDE!L70+FALUHÁZ!L70+ÓVODA!L70+PMH!L70+ÖNKORMÁNYZAT!L70</f>
        <v>1260000</v>
      </c>
      <c r="M70" s="1">
        <f t="shared" si="1"/>
        <v>152.82123884438036</v>
      </c>
      <c r="O70" s="55">
        <f>BÖLCSŐDE!O70+FALUHÁZ!N70+ÓVODA!O70+PMH!O70+ÖNKORMÁNYZAT!O70</f>
        <v>1310000</v>
      </c>
      <c r="P70" s="55">
        <f>BÖLCSŐDE!P70+FALUHÁZ!O70+ÓVODA!P70+PMH!P70+ÖNKORMÁNYZAT!P70</f>
        <v>422875</v>
      </c>
      <c r="Q70" s="55">
        <f>BÖLCSŐDE!Q70+FALUHÁZ!P70+ÓVODA!Q70+PMH!Q70+ÖNKORMÁNYZAT!Q70</f>
        <v>436605</v>
      </c>
      <c r="R70" s="55">
        <f>BÖLCSŐDE!R70+FALUHÁZ!Q70+ÓVODA!R70+PMH!R70+ÖNKORMÁNYZAT!R70</f>
        <v>1260000</v>
      </c>
      <c r="S70" s="55">
        <f>BÖLCSŐDE!S70+FALUHÁZ!R70+ÓVODA!S70+PMH!S70+ÖNKORMÁNYZAT!S70</f>
        <v>1239000</v>
      </c>
      <c r="T70" s="55">
        <f>BÖLCSŐDE!T70+FALUHÁZ!S70+ÓVODA!T70+PMH!T70+ÖNKORMÁNYZAT!T70</f>
        <v>749345</v>
      </c>
      <c r="U70" s="55">
        <f>BÖLCSŐDE!U70+FALUHÁZ!T70+ÓVODA!U70+PMH!U70+ÖNKORMÁNYZAT!U70</f>
        <v>1285000</v>
      </c>
      <c r="V70" s="55">
        <f>BÖLCSŐDE!V70+FALUHÁZ!U70+ÓVODA!V70+PMH!V70+ÖNKORMÁNYZAT!V70</f>
        <v>1285000</v>
      </c>
      <c r="W70" s="55">
        <f>BÖLCSŐDE!W70+FALUHÁZ!V70+ÓVODA!W70+PMH!W70+ÖNKORMÁNYZAT!W70</f>
        <v>1160000</v>
      </c>
      <c r="X70" s="122">
        <f t="shared" si="2"/>
        <v>58.314785992217899</v>
      </c>
      <c r="AA70" s="55">
        <f>BÖLCSŐDE!AA70+FALUHÁZ!Z70+ÓVODA!AA70+PMH!AA70+ÖNKORMÁNYZAT!AA70</f>
        <v>1160000</v>
      </c>
      <c r="AB70" s="55">
        <f>BÖLCSŐDE!AB70+FALUHÁZ!AA70+ÓVODA!AB70+PMH!AB70+ÖNKORMÁNYZAT!AB70</f>
        <v>152730</v>
      </c>
      <c r="AC70" s="55">
        <f>BÖLCSŐDE!AB70+FALUHÁZ!AA70+ÓVODA!AB70+PMH!AB70+ÖNKORMÁNYZAT!AB70</f>
        <v>152730</v>
      </c>
      <c r="AD70" s="55">
        <f>BÖLCSŐDE!AC70+FALUHÁZ!AB70+ÓVODA!AC70+PMH!AC70+ÖNKORMÁNYZAT!AC70</f>
        <v>186685</v>
      </c>
      <c r="AE70" s="223">
        <f>BÖLCSŐDE!AE70+FALUHÁZ!AD70+ÓVODA!AE70+PMH!AE70+ÖNKORMÁNYZAT!AD70</f>
        <v>1084.2733333333333</v>
      </c>
      <c r="AF70" s="122">
        <f t="shared" si="3"/>
        <v>16.093534482758621</v>
      </c>
      <c r="AG70" s="55">
        <f>BÖLCSŐDE!AG69+FALUHÁZ!AG69+ÓVODA!AG69+PMH!AG69+ÖNKORMÁNYZAT!AG69</f>
        <v>69057220</v>
      </c>
      <c r="AH70" s="55"/>
      <c r="AI70" s="55">
        <f>BÖLCSŐDE!AI70+FALUHÁZ!AJ70+ÓVODA!AI70+PMH!AI70+ÖNKORMÁNYZAT!AI70</f>
        <v>888054.43200000003</v>
      </c>
      <c r="AJ70" s="55"/>
      <c r="AK70" s="55">
        <f>BÖLCSŐDE!AL70+FALUHÁZ!AK70+ÓVODA!AK70+PMH!AK70+ÖNKORMÁNYZAT!AK70</f>
        <v>1138054.432</v>
      </c>
      <c r="AM70" s="55">
        <f>BÖLCSŐDE!AM70+FALUHÁZ!AM70+ÓVODA!AM70+PMH!AM70+ÖNKORMÁNYZAT!AM70</f>
        <v>865520</v>
      </c>
      <c r="AN70" s="55">
        <f>BÖLCSŐDE!AN70+FALUHÁZ!AN70+ÓVODA!AP70+PMH!AN70+ÖNKORMÁNYZAT!AP70</f>
        <v>958054</v>
      </c>
      <c r="AO70" s="55">
        <f>BÖLCSŐDE!AO70+FALUHÁZ!AO70+ÓVODA!AQ70+PMH!AO70+ÖNKORMÁNYZAT!AQ70</f>
        <v>98960</v>
      </c>
      <c r="AP70" s="55">
        <f>BÖLCSŐDE!AP70+FALUHÁZ!AP70+ÓVODA!AP70+PMH!AP70+ÖNKORMÁNYZAT!AP70</f>
        <v>918054</v>
      </c>
      <c r="AQ70" s="55">
        <f>BÖLCSŐDE!AQ70+FALUHÁZ!AQ70+ÓVODA!AQ70+PMH!AQ70+ÖNKORMÁNYZAT!AQ70</f>
        <v>108570</v>
      </c>
      <c r="AR70" s="55">
        <f t="shared" si="4"/>
        <v>809484</v>
      </c>
      <c r="AS70" s="54">
        <f t="shared" si="5"/>
        <v>11.826101732577822</v>
      </c>
      <c r="AT70" s="55">
        <f>BÖLCSŐDE!AT70+FALUHÁZ!AT70+ÓVODA!AT70+PMH!AT70+ÖNKORMÁNYZAT!AT70</f>
        <v>515175</v>
      </c>
      <c r="AU70" s="55">
        <f t="shared" si="6"/>
        <v>402879</v>
      </c>
      <c r="AV70" s="54">
        <f t="shared" si="7"/>
        <v>43.884019894254592</v>
      </c>
      <c r="AW70" s="55">
        <f>BÖLCSŐDE!AW70+FALUHÁZ!AW70+ÓVODA!AW70+PMH!AW70+ÖNKORMÁNYZAT!AW70</f>
        <v>1138054</v>
      </c>
      <c r="AX70" s="55">
        <f>BÖLCSŐDE!AX70+FALUHÁZ!AX70+ÓVODA!AX70+PMH!AX70+ÖNKORMÁNYZAT!AX70</f>
        <v>1138054</v>
      </c>
      <c r="AY70" s="55">
        <f>BÖLCSŐDE!AY70+FALUHÁZ!AY70+ÓVODA!AY70+PMH!AY70+ÖNKORMÁNYZAT!AY70</f>
        <v>1138054</v>
      </c>
      <c r="AZ70" s="55">
        <f>BÖLCSŐDE!AZ70+FALUHÁZ!AZ70+ÓVODA!AZ70+PMH!AZ70+ÖNKORMÁNYZAT!AZ70</f>
        <v>858054</v>
      </c>
      <c r="BA70" s="55">
        <f>BÖLCSŐDE!BA70+FALUHÁZ!BA70+ÓVODA!BA70+PMH!BA70+ÖNKORMÁNYZAT!BA70</f>
        <v>858054</v>
      </c>
      <c r="BB70" s="501">
        <f>BÖLCSŐDE!BB70+FALUHÁZ!BB70+ÓVODA!BB70+PMH!BB70+ÖNKORMÁNYZAT!BB70</f>
        <v>751116</v>
      </c>
      <c r="BC70" s="501">
        <f>BÖLCSŐDE!BC70+FALUHÁZ!BC70+ÓVODA!BC70+PMH!BC70+ÖNKORMÁNYZAT!BC70</f>
        <v>858056</v>
      </c>
      <c r="BD70" s="501">
        <f>BÖLCSŐDE!BD70+FALUHÁZ!BD70+ÓVODA!BD70+PMH!BD70+ÖNKORMÁNYZAT!BD70</f>
        <v>61275</v>
      </c>
      <c r="BE70" s="501">
        <f>BÖLCSŐDE!BE70+FALUHÁZ!BE70+ÓVODA!BE70+PMH!BE70+ÖNKORMÁNYZAT!BE70</f>
        <v>91790</v>
      </c>
      <c r="BF70" s="501">
        <f>BÖLCSŐDE!BF70+FALUHÁZ!BF70+ÓVODA!BF70+PMH!BF70+ÖNKORMÁNYZAT!BF70</f>
        <v>108445</v>
      </c>
      <c r="BG70" s="383">
        <f>BÖLCSŐDE!BG70+FALUHÁZ!BG70+ÓVODA!BG70+PMH!BG70+ÖNKORMÁNYZAT!BG70</f>
        <v>130134</v>
      </c>
      <c r="BH70" s="65">
        <f>BÖLCSŐDE!BH70+FALUHÁZ!BH70+ÓVODA!BH70+PMH!BH70+ÖNKORMÁNYZAT!BH70</f>
        <v>151205.28</v>
      </c>
      <c r="BI70" s="65">
        <f>BÖLCSŐDE!BI70+FALUHÁZ!BI70+ÓVODA!BI70+PMH!BI70+ÖNKORMÁNYZAT!BI70</f>
        <v>477275</v>
      </c>
      <c r="BJ70" s="65">
        <f>BÖLCSŐDE!BJ70+FALUHÁZ!BJ70+ÓVODA!BJ70+PMH!BJ70+ÖNKORMÁNYZAT!BJ70</f>
        <v>142325</v>
      </c>
      <c r="BK70" s="65">
        <f>BÖLCSŐDE!BK70+FALUHÁZ!BK70+ÓVODA!BK70+PMH!BK70+ÖNKORMÁNYZAT!BK70</f>
        <v>374045</v>
      </c>
      <c r="BL70" s="65">
        <f>BÖLCSŐDE!BL70+FALUHÁZ!BL70+ÓVODA!BL70+PMH!BL70+ÖNKORMÁNYZAT!BL70</f>
        <v>448854</v>
      </c>
      <c r="BM70" s="65">
        <f>BÖLCSŐDE!BM70+FALUHÁZ!BM70+ÓVODA!BM70+PMH!BM70+ÖNKORMÁNYZAT!BM70</f>
        <v>455000</v>
      </c>
      <c r="BN70" s="65">
        <f>BÖLCSŐDE!BN70+FALUHÁZ!BN70+ÓVODA!BN70+PMH!BN70+ÖNKORMÁNYZAT!BN70</f>
        <v>455000</v>
      </c>
      <c r="BO70" s="65">
        <f>BÖLCSŐDE!BO70+FALUHÁZ!BO70+ÓVODA!BO70+PMH!BO70+ÖNKORMÁNYZAT!BO70</f>
        <v>339580</v>
      </c>
      <c r="BP70" s="65">
        <f>BÖLCSŐDE!BP70+FALUHÁZ!BP70+ÓVODA!BP70+PMH!BP70+ÖNKORMÁNYZAT!BP70</f>
        <v>407496</v>
      </c>
      <c r="BQ70" s="65">
        <f>BÖLCSŐDE!BQ70+FALUHÁZ!BQ70+ÓVODA!BQ70+PMH!BQ70+ÖNKORMÁNYZAT!BQ70</f>
        <v>448245.60000000009</v>
      </c>
      <c r="BR70" s="65">
        <f>BÖLCSŐDE!BR70+FALUHÁZ!BR70+ÓVODA!BR70+PMH!BR70+ÖNKORMÁNYZAT!BR70</f>
        <v>457275</v>
      </c>
      <c r="BS70" s="65">
        <f>BÖLCSŐDE!BS70+FALUHÁZ!BS70+ÓVODA!BS70+PMH!BS70+ÖNKORMÁNYZAT!BS70</f>
        <v>457275</v>
      </c>
      <c r="BT70" s="65">
        <f>BÖLCSŐDE!BT70+FALUHÁZ!BT70+ÓVODA!BT70+PMH!BT70+ÖNKORMÁNYZAT!BT70</f>
        <v>457275</v>
      </c>
      <c r="BU70" s="65">
        <f>BÖLCSŐDE!BU70+FALUHÁZ!BU70+ÓVODA!BU70+PMH!BU70+ÖNKORMÁNYZAT!BU70</f>
        <v>1080000</v>
      </c>
      <c r="BV70" s="65">
        <f>BÖLCSŐDE!BV70+FALUHÁZ!BV70+ÓVODA!BV70+PMH!BV70+ÖNKORMÁNYZAT!BV70</f>
        <v>545000</v>
      </c>
    </row>
    <row r="71" spans="1:74" x14ac:dyDescent="0.25">
      <c r="A71" s="54" t="s">
        <v>257</v>
      </c>
      <c r="B71" s="55" t="s">
        <v>258</v>
      </c>
      <c r="C71" s="55"/>
      <c r="D71" s="55"/>
      <c r="E71" s="55"/>
      <c r="F71" s="55"/>
      <c r="G71" s="55">
        <f>BÖLCSŐDE!G71+FALUHÁZ!G71+ÓVODA!G71+PMH!G71+ÖNKORMÁNYZAT!G71</f>
        <v>230000</v>
      </c>
      <c r="H71" s="55">
        <f>BÖLCSŐDE!H71+FALUHÁZ!H71+ÓVODA!H71+PMH!H71+ÖNKORMÁNYZAT!H71</f>
        <v>230000</v>
      </c>
      <c r="I71" s="55">
        <f t="shared" si="0"/>
        <v>250909.09090909091</v>
      </c>
      <c r="J71" s="55">
        <v>0</v>
      </c>
      <c r="K71" s="55">
        <v>0</v>
      </c>
      <c r="L71" s="55">
        <f>BÖLCSŐDE!L71+FALUHÁZ!L71+ÓVODA!L71+PMH!L71+ÖNKORMÁNYZAT!L71</f>
        <v>0</v>
      </c>
      <c r="M71" s="1">
        <f t="shared" si="1"/>
        <v>0</v>
      </c>
      <c r="O71" s="55">
        <f>BÖLCSŐDE!O71+FALUHÁZ!N71+ÓVODA!O71+PMH!O71+ÖNKORMÁNYZAT!O71</f>
        <v>0</v>
      </c>
      <c r="P71" s="55">
        <f>BÖLCSŐDE!P71+FALUHÁZ!O71+ÓVODA!P71+PMH!P71+ÖNKORMÁNYZAT!P71</f>
        <v>0</v>
      </c>
      <c r="Q71" s="55">
        <f>BÖLCSŐDE!Q71+FALUHÁZ!P71+ÓVODA!Q71+PMH!Q71+ÖNKORMÁNYZAT!Q71</f>
        <v>0</v>
      </c>
      <c r="R71" s="55">
        <f>BÖLCSŐDE!R71+FALUHÁZ!Q71+ÓVODA!R71+PMH!R71+ÖNKORMÁNYZAT!R71</f>
        <v>0</v>
      </c>
      <c r="S71" s="55">
        <f>BÖLCSŐDE!S71+FALUHÁZ!R71+ÓVODA!S71+PMH!S71+ÖNKORMÁNYZAT!S71</f>
        <v>0</v>
      </c>
      <c r="T71" s="55">
        <f>BÖLCSŐDE!T71+FALUHÁZ!S71+ÓVODA!T71+PMH!T71+ÖNKORMÁNYZAT!T71</f>
        <v>0</v>
      </c>
      <c r="U71" s="55">
        <f>BÖLCSŐDE!U71+FALUHÁZ!T71+ÓVODA!U71+PMH!U71+ÖNKORMÁNYZAT!U71</f>
        <v>0</v>
      </c>
      <c r="V71" s="55">
        <f>BÖLCSŐDE!V71+FALUHÁZ!U71+ÓVODA!V71+PMH!V71+ÖNKORMÁNYZAT!V71</f>
        <v>0</v>
      </c>
      <c r="W71" s="55">
        <f>BÖLCSŐDE!W71+FALUHÁZ!V71+ÓVODA!W71+PMH!W71+ÖNKORMÁNYZAT!W71</f>
        <v>0</v>
      </c>
      <c r="X71" s="122"/>
      <c r="AA71" s="55">
        <f>BÖLCSŐDE!AA71+FALUHÁZ!Z71+ÓVODA!AA71+PMH!AA71+ÖNKORMÁNYZAT!AA71</f>
        <v>0</v>
      </c>
      <c r="AB71" s="55">
        <f>BÖLCSŐDE!AB71+FALUHÁZ!AA71+ÓVODA!AB71+PMH!AB71+ÖNKORMÁNYZAT!AB71</f>
        <v>0</v>
      </c>
      <c r="AC71" s="55">
        <f>BÖLCSŐDE!AB71+FALUHÁZ!AA71+ÓVODA!AB71+PMH!AB71+ÖNKORMÁNYZAT!AB71</f>
        <v>0</v>
      </c>
      <c r="AD71" s="55">
        <f>BÖLCSŐDE!AC71+FALUHÁZ!AB71+ÓVODA!AC71+PMH!AC71+ÖNKORMÁNYZAT!AC71</f>
        <v>0</v>
      </c>
      <c r="AE71" s="223">
        <f>BÖLCSŐDE!AE71+FALUHÁZ!AD71+ÓVODA!AE71+PMH!AE71+ÖNKORMÁNYZAT!AD71</f>
        <v>0</v>
      </c>
      <c r="AF71" s="122"/>
      <c r="AG71" s="55">
        <f>BÖLCSŐDE!AG70+FALUHÁZ!AG70+ÓVODA!AG70+PMH!AG70+ÖNKORMÁNYZAT!AG70</f>
        <v>670348</v>
      </c>
      <c r="AH71" s="55"/>
      <c r="AI71" s="55">
        <f>BÖLCSŐDE!AI71+FALUHÁZ!AJ71+ÓVODA!AI71+PMH!AI71+ÖNKORMÁNYZAT!AI71</f>
        <v>0</v>
      </c>
      <c r="AJ71" s="55"/>
      <c r="AK71" s="55">
        <f>BÖLCSŐDE!AL71+FALUHÁZ!AK71+ÓVODA!AK71+PMH!AK71+ÖNKORMÁNYZAT!AK71</f>
        <v>0</v>
      </c>
      <c r="AM71" s="55">
        <f>BÖLCSŐDE!AM71+FALUHÁZ!AM71+ÓVODA!AM71+PMH!AM71+ÖNKORMÁNYZAT!AM71</f>
        <v>0</v>
      </c>
      <c r="AN71" s="55">
        <f>BÖLCSŐDE!AN71+FALUHÁZ!AN71+ÓVODA!AP71+PMH!AN71+ÖNKORMÁNYZAT!AP71</f>
        <v>0</v>
      </c>
      <c r="AO71" s="55">
        <f>BÖLCSŐDE!AO71+FALUHÁZ!AO71+ÓVODA!AQ71+PMH!AO71+ÖNKORMÁNYZAT!AQ71</f>
        <v>0</v>
      </c>
      <c r="AP71" s="55">
        <f>BÖLCSŐDE!AP71+FALUHÁZ!AP71+ÓVODA!AP71+PMH!AP71+ÖNKORMÁNYZAT!AP71</f>
        <v>0</v>
      </c>
      <c r="AQ71" s="55">
        <f>BÖLCSŐDE!AQ71+FALUHÁZ!AQ71+ÓVODA!AQ71+PMH!AQ71+ÖNKORMÁNYZAT!AQ71</f>
        <v>0</v>
      </c>
      <c r="AR71" s="55">
        <f t="shared" si="4"/>
        <v>0</v>
      </c>
      <c r="AS71" s="54"/>
      <c r="AT71" s="55">
        <f>BÖLCSŐDE!AT71+FALUHÁZ!AT71+ÓVODA!AT71+PMH!AT71+ÖNKORMÁNYZAT!AT71</f>
        <v>0</v>
      </c>
      <c r="AU71" s="55"/>
      <c r="AV71" s="54"/>
      <c r="AW71" s="55">
        <f>BÖLCSŐDE!AW71+FALUHÁZ!AW71+ÓVODA!AW71+PMH!AW71+ÖNKORMÁNYZAT!AW71</f>
        <v>0</v>
      </c>
      <c r="AX71" s="55">
        <f>BÖLCSŐDE!AX71+FALUHÁZ!AX71+ÓVODA!AX71+PMH!AX71+ÖNKORMÁNYZAT!AX71</f>
        <v>0</v>
      </c>
      <c r="AY71" s="55">
        <f>BÖLCSŐDE!AY71+FALUHÁZ!AY71+ÓVODA!AY71+PMH!AY71+ÖNKORMÁNYZAT!AY71</f>
        <v>0</v>
      </c>
      <c r="AZ71" s="55">
        <f>BÖLCSŐDE!AZ71+FALUHÁZ!AZ71+ÓVODA!AZ71+PMH!AZ71+ÖNKORMÁNYZAT!AZ71</f>
        <v>0</v>
      </c>
      <c r="BA71" s="55">
        <f>BÖLCSŐDE!BA71+FALUHÁZ!BA71+ÓVODA!BA71+PMH!BA71+ÖNKORMÁNYZAT!BA71</f>
        <v>0</v>
      </c>
      <c r="BB71" s="501">
        <f>BÖLCSŐDE!BB71+FALUHÁZ!BB71+ÓVODA!BB71+PMH!BB71+ÖNKORMÁNYZAT!BB71</f>
        <v>0</v>
      </c>
      <c r="BC71" s="501">
        <f>BÖLCSŐDE!BC71+FALUHÁZ!BC71+ÓVODA!BC71+PMH!BC71+ÖNKORMÁNYZAT!BC71</f>
        <v>0</v>
      </c>
      <c r="BD71" s="501">
        <f>BÖLCSŐDE!BD71+FALUHÁZ!BD71+ÓVODA!BD71+PMH!BD71+ÖNKORMÁNYZAT!BD71</f>
        <v>0</v>
      </c>
      <c r="BE71" s="501">
        <f>BÖLCSŐDE!BE71+FALUHÁZ!BE71+ÓVODA!BE71+PMH!BE71+ÖNKORMÁNYZAT!BE71</f>
        <v>0</v>
      </c>
      <c r="BF71" s="501">
        <f>BÖLCSŐDE!BF71+FALUHÁZ!BF71+ÓVODA!BF71+PMH!BF71+ÖNKORMÁNYZAT!BF71</f>
        <v>0</v>
      </c>
      <c r="BG71" s="383">
        <f>BÖLCSŐDE!BG71+FALUHÁZ!BG71+ÓVODA!BG71+PMH!BG71+ÖNKORMÁNYZAT!BG71</f>
        <v>0</v>
      </c>
      <c r="BH71" s="65">
        <f>BÖLCSŐDE!BH71+FALUHÁZ!BH71+ÓVODA!BH71+PMH!BH71+ÖNKORMÁNYZAT!BH71</f>
        <v>0</v>
      </c>
      <c r="BI71" s="65">
        <f>BÖLCSŐDE!BI71+FALUHÁZ!BI71+ÓVODA!BI71+PMH!BI71+ÖNKORMÁNYZAT!BI71</f>
        <v>0</v>
      </c>
      <c r="BJ71" s="65">
        <f>BÖLCSŐDE!BJ71+FALUHÁZ!BJ71+ÓVODA!BJ71+PMH!BJ71+ÖNKORMÁNYZAT!BJ71</f>
        <v>0</v>
      </c>
      <c r="BK71" s="65">
        <f>BÖLCSŐDE!BK71+FALUHÁZ!BK71+ÓVODA!BK71+PMH!BK71+ÖNKORMÁNYZAT!BK71</f>
        <v>0</v>
      </c>
      <c r="BL71" s="65">
        <f>BÖLCSŐDE!BL71+FALUHÁZ!BL71+ÓVODA!BL71+PMH!BL71+ÖNKORMÁNYZAT!BL71</f>
        <v>0</v>
      </c>
      <c r="BM71" s="65">
        <f>BÖLCSŐDE!BM71+FALUHÁZ!BM71+ÓVODA!BM71+PMH!BM71+ÖNKORMÁNYZAT!BM71</f>
        <v>0</v>
      </c>
      <c r="BN71" s="65">
        <f>BÖLCSŐDE!BN71+FALUHÁZ!BN71+ÓVODA!BN71+PMH!BN71+ÖNKORMÁNYZAT!BN71</f>
        <v>0</v>
      </c>
      <c r="BO71" s="65">
        <f>BÖLCSŐDE!BO71+FALUHÁZ!BO71+ÓVODA!BO71+PMH!BO71+ÖNKORMÁNYZAT!BO71</f>
        <v>0</v>
      </c>
      <c r="BP71" s="65">
        <f>BÖLCSŐDE!BP71+FALUHÁZ!BP71+ÓVODA!BP71+PMH!BP71+ÖNKORMÁNYZAT!BP71</f>
        <v>0</v>
      </c>
      <c r="BQ71" s="65">
        <f>BÖLCSŐDE!BQ71+FALUHÁZ!BQ71+ÓVODA!BQ71+PMH!BQ71+ÖNKORMÁNYZAT!BQ71</f>
        <v>0</v>
      </c>
      <c r="BR71" s="65">
        <f>BÖLCSŐDE!BR71+FALUHÁZ!BR71+ÓVODA!BR71+PMH!BR71+ÖNKORMÁNYZAT!BR71</f>
        <v>0</v>
      </c>
      <c r="BS71" s="65">
        <f>BÖLCSŐDE!BS71+FALUHÁZ!BS71+ÓVODA!BS71+PMH!BS71+ÖNKORMÁNYZAT!BS71</f>
        <v>0</v>
      </c>
      <c r="BT71" s="65">
        <f>BÖLCSŐDE!BT71+FALUHÁZ!BT71+ÓVODA!BT71+PMH!BT71+ÖNKORMÁNYZAT!BT71</f>
        <v>0</v>
      </c>
      <c r="BU71" s="65">
        <f>BÖLCSŐDE!BU71+FALUHÁZ!BU71+ÓVODA!BU71+PMH!BU71+ÖNKORMÁNYZAT!BU71</f>
        <v>0</v>
      </c>
      <c r="BV71" s="65">
        <f>BÖLCSŐDE!BV71+FALUHÁZ!BV71+ÓVODA!BV71+PMH!BV71+ÖNKORMÁNYZAT!BV71</f>
        <v>0</v>
      </c>
    </row>
    <row r="72" spans="1:74" x14ac:dyDescent="0.25">
      <c r="A72" s="54" t="s">
        <v>51</v>
      </c>
      <c r="B72" s="55" t="s">
        <v>160</v>
      </c>
      <c r="C72" s="55">
        <f>BÖLCSŐDE!C72+FALUHÁZ!C72+ÓVODA!C72+PMH!C72+ÖNKORMÁNYZAT!C72</f>
        <v>30741553</v>
      </c>
      <c r="D72" s="55">
        <f>BÖLCSŐDE!D72+FALUHÁZ!D72+ÓVODA!D72+PMH!D72+ÖNKORMÁNYZAT!D72</f>
        <v>24061574</v>
      </c>
      <c r="E72" s="55">
        <f>BÖLCSŐDE!E72+FALUHÁZ!E72+ÓVODA!E72+PMH!E72+ÖNKORMÁNYZAT!E72</f>
        <v>29949549.560000002</v>
      </c>
      <c r="F72" s="55">
        <f>BÖLCSŐDE!F72+FALUHÁZ!F72+ÓVODA!F72+PMH!F72+ÖNKORMÁNYZAT!F72</f>
        <v>18474617</v>
      </c>
      <c r="G72" s="55">
        <f>BÖLCSŐDE!G72+FALUHÁZ!G72+ÓVODA!G72+PMH!G72+ÖNKORMÁNYZAT!G72</f>
        <v>26963024</v>
      </c>
      <c r="H72" s="55">
        <f>BÖLCSŐDE!H72+FALUHÁZ!H72+ÓVODA!H72+PMH!H72+ÖNKORMÁNYZAT!H72</f>
        <v>19683009</v>
      </c>
      <c r="I72" s="55">
        <f t="shared" si="0"/>
        <v>21472373.454545453</v>
      </c>
      <c r="J72" s="55">
        <v>35130891.712820515</v>
      </c>
      <c r="K72" s="55">
        <v>25337840.512820512</v>
      </c>
      <c r="L72" s="55">
        <f>BÖLCSŐDE!L72+FALUHÁZ!L72+ÓVODA!L72+PMH!L72+ÖNKORMÁNYZAT!L72</f>
        <v>25691840.51282052</v>
      </c>
      <c r="M72" s="1">
        <f t="shared" si="1"/>
        <v>119.65067842736245</v>
      </c>
      <c r="O72" s="55">
        <f>BÖLCSŐDE!O72+FALUHÁZ!N72+ÓVODA!O72+PMH!O72+ÖNKORMÁNYZAT!O72</f>
        <v>26416681</v>
      </c>
      <c r="P72" s="55">
        <f>BÖLCSŐDE!P72+FALUHÁZ!O72+ÓVODA!P72+PMH!P72+ÖNKORMÁNYZAT!P72</f>
        <v>16856230.199999999</v>
      </c>
      <c r="Q72" s="55">
        <f>BÖLCSŐDE!Q72+FALUHÁZ!P72+ÓVODA!Q72+PMH!Q72+ÖNKORMÁNYZAT!Q72</f>
        <v>18610503.399999999</v>
      </c>
      <c r="R72" s="55">
        <f>BÖLCSŐDE!R72+FALUHÁZ!Q72+ÓVODA!R72+PMH!R72+ÖNKORMÁNYZAT!R72</f>
        <v>28030920</v>
      </c>
      <c r="S72" s="55">
        <f>BÖLCSŐDE!S72+FALUHÁZ!R72+ÓVODA!S72+PMH!S72+ÖNKORMÁNYZAT!S72</f>
        <v>27138974</v>
      </c>
      <c r="T72" s="55">
        <f>BÖLCSŐDE!T72+FALUHÁZ!S72+ÓVODA!T72+PMH!T72+ÖNKORMÁNYZAT!T72</f>
        <v>22269091.800000001</v>
      </c>
      <c r="U72" s="55">
        <f>BÖLCSŐDE!U72+FALUHÁZ!T72+ÓVODA!U72+PMH!U72+ÖNKORMÁNYZAT!U72</f>
        <v>26437160</v>
      </c>
      <c r="V72" s="55">
        <f>BÖLCSŐDE!V72+FALUHÁZ!U72+ÓVODA!V72+PMH!V72+ÖNKORMÁNYZAT!V72</f>
        <v>25907160</v>
      </c>
      <c r="W72" s="55">
        <f>BÖLCSŐDE!W72+FALUHÁZ!V72+ÓVODA!W72+PMH!W72+ÖNKORMÁNYZAT!W72</f>
        <v>24910560</v>
      </c>
      <c r="X72" s="122">
        <f t="shared" si="2"/>
        <v>85.957286711472818</v>
      </c>
      <c r="AA72" s="55">
        <f>BÖLCSŐDE!AA72+FALUHÁZ!Z72+ÓVODA!AA72+PMH!AA72+ÖNKORMÁNYZAT!AA72</f>
        <v>23461600</v>
      </c>
      <c r="AB72" s="55">
        <f>BÖLCSŐDE!AB72+FALUHÁZ!AA72+ÓVODA!AB72+PMH!AB72+ÖNKORMÁNYZAT!AB72</f>
        <v>13313274</v>
      </c>
      <c r="AC72" s="55">
        <f>BÖLCSŐDE!AB72+FALUHÁZ!AA72+ÓVODA!AB72+PMH!AB72+ÖNKORMÁNYZAT!AB72</f>
        <v>13313274</v>
      </c>
      <c r="AD72" s="55">
        <f>BÖLCSŐDE!AC72+FALUHÁZ!AB72+ÓVODA!AC72+PMH!AC72+ÖNKORMÁNYZAT!AC72</f>
        <v>16501768</v>
      </c>
      <c r="AE72" s="223">
        <f>BÖLCSŐDE!AE72+FALUHÁZ!AD72+ÓVODA!AE72+PMH!AE72+ÖNKORMÁNYZAT!AD72</f>
        <v>9466514.0933946576</v>
      </c>
      <c r="AF72" s="122">
        <f t="shared" si="3"/>
        <v>70.335220104340706</v>
      </c>
      <c r="AG72" s="55">
        <f>BÖLCSŐDE!AG71+FALUHÁZ!AG71+ÓVODA!AG71+PMH!AG71+ÖNKORMÁNYZAT!AG71</f>
        <v>0</v>
      </c>
      <c r="AH72" s="55"/>
      <c r="AI72" s="55">
        <f>BÖLCSŐDE!AI72+FALUHÁZ!AJ72+ÓVODA!AI72+PMH!AI72+ÖNKORMÁNYZAT!AI72</f>
        <v>28669895.583999999</v>
      </c>
      <c r="AJ72" s="55"/>
      <c r="AK72" s="55">
        <f>BÖLCSŐDE!AL72+FALUHÁZ!AK72+ÓVODA!AK72+PMH!AK72+ÖNKORMÁNYZAT!AK72</f>
        <v>22880122.927999996</v>
      </c>
      <c r="AM72" s="55">
        <f>BÖLCSŐDE!AM72+FALUHÁZ!AM72+ÓVODA!AM72+PMH!AM72+ÖNKORMÁNYZAT!AM72</f>
        <v>25961702</v>
      </c>
      <c r="AN72" s="55">
        <f>BÖLCSŐDE!AN72+FALUHÁZ!AN72+ÓVODA!AP72+PMH!AN72+ÖNKORMÁNYZAT!AP72</f>
        <v>28770123</v>
      </c>
      <c r="AO72" s="55">
        <f>BÖLCSŐDE!AO72+FALUHÁZ!AO72+ÓVODA!AQ72+PMH!AO72+ÖNKORMÁNYZAT!AQ72</f>
        <v>19078087</v>
      </c>
      <c r="AP72" s="55">
        <f>BÖLCSŐDE!AP72+FALUHÁZ!AP72+ÓVODA!AP72+PMH!AP72+ÖNKORMÁNYZAT!AP72</f>
        <v>28770123</v>
      </c>
      <c r="AQ72" s="55">
        <f>BÖLCSŐDE!AQ72+FALUHÁZ!AQ72+ÓVODA!AQ72+PMH!AQ72+ÖNKORMÁNYZAT!AQ72</f>
        <v>20526041</v>
      </c>
      <c r="AR72" s="55">
        <f t="shared" ref="AR72:AR101" si="9">AP72-AQ72</f>
        <v>8244082</v>
      </c>
      <c r="AS72" s="54">
        <f t="shared" ref="AS72:AS107" si="10">AQ72/AP72*100</f>
        <v>71.344988688439045</v>
      </c>
      <c r="AT72" s="55">
        <f>BÖLCSŐDE!AT72+FALUHÁZ!AT72+ÓVODA!AT72+PMH!AT72+ÖNKORMÁNYZAT!AT72</f>
        <v>23868987</v>
      </c>
      <c r="AU72" s="55">
        <f t="shared" ref="AU72:AU101" si="11">AP72-AT72</f>
        <v>4901136</v>
      </c>
      <c r="AV72" s="54">
        <f t="shared" ref="AV72:AV101" si="12">AU72/AP72*100</f>
        <v>17.035505896168747</v>
      </c>
      <c r="AW72" s="55">
        <f>BÖLCSŐDE!AW72+FALUHÁZ!AW72+ÓVODA!AW72+PMH!AW72+ÖNKORMÁNYZAT!AW72</f>
        <v>22880123</v>
      </c>
      <c r="AX72" s="55">
        <f>BÖLCSŐDE!AX72+FALUHÁZ!AX72+ÓVODA!AX72+PMH!AX72+ÖNKORMÁNYZAT!AX72</f>
        <v>22880124</v>
      </c>
      <c r="AY72" s="55">
        <f>BÖLCSŐDE!AY72+FALUHÁZ!AY72+ÓVODA!AY72+PMH!AY72+ÖNKORMÁNYZAT!AY72</f>
        <v>22880124</v>
      </c>
      <c r="AZ72" s="55">
        <f>BÖLCSŐDE!AZ72+FALUHÁZ!AZ72+ÓVODA!AZ72+PMH!AZ72+ÖNKORMÁNYZAT!AZ72</f>
        <v>22598218</v>
      </c>
      <c r="BA72" s="55">
        <f>BÖLCSŐDE!BA72+FALUHÁZ!BA72+ÓVODA!BA72+PMH!BA72+ÖNKORMÁNYZAT!BA72</f>
        <v>22598218</v>
      </c>
      <c r="BB72" s="501">
        <f>BÖLCSŐDE!BB72+FALUHÁZ!BB72+ÓVODA!BB72+PMH!BB72+ÖNKORMÁNYZAT!BB72</f>
        <v>22598218</v>
      </c>
      <c r="BC72" s="501">
        <f>BÖLCSŐDE!BC72+FALUHÁZ!BC72+ÓVODA!BC72+PMH!BC72+ÖNKORMÁNYZAT!BC72</f>
        <v>24984193</v>
      </c>
      <c r="BD72" s="501">
        <f>BÖLCSŐDE!BD72+FALUHÁZ!BD72+ÓVODA!BD72+PMH!BD72+ÖNKORMÁNYZAT!BD72</f>
        <v>15937907</v>
      </c>
      <c r="BE72" s="501">
        <f>BÖLCSŐDE!BE72+FALUHÁZ!BE72+ÓVODA!BE72+PMH!BE72+ÖNKORMÁNYZAT!BE72</f>
        <v>20585534</v>
      </c>
      <c r="BF72" s="501">
        <f>BÖLCSŐDE!BF72+FALUHÁZ!BF72+ÓVODA!BF72+PMH!BF72+ÖNKORMÁNYZAT!BF72</f>
        <v>22958500</v>
      </c>
      <c r="BG72" s="383">
        <f>BÖLCSŐDE!BG72+FALUHÁZ!BG72+ÓVODA!BG72+PMH!BG72+ÖNKORMÁNYZAT!BG72</f>
        <v>27550200</v>
      </c>
      <c r="BH72" s="65">
        <f>BÖLCSŐDE!BH72+FALUHÁZ!BH72+ÓVODA!BH72+PMH!BH72+ÖNKORMÁNYZAT!BH72</f>
        <v>23095560.560000002</v>
      </c>
      <c r="BI72" s="65">
        <f>BÖLCSŐDE!BI72+FALUHÁZ!BI72+ÓVODA!BI72+PMH!BI72+ÖNKORMÁNYZAT!BI72</f>
        <v>40029576</v>
      </c>
      <c r="BJ72" s="65">
        <f>BÖLCSŐDE!BJ72+FALUHÁZ!BJ72+ÓVODA!BJ72+PMH!BJ72+ÖNKORMÁNYZAT!BJ72</f>
        <v>18018135</v>
      </c>
      <c r="BK72" s="65">
        <f>BÖLCSŐDE!BK72+FALUHÁZ!BK72+ÓVODA!BK72+PMH!BK72+ÖNKORMÁNYZAT!BK72</f>
        <v>29649864</v>
      </c>
      <c r="BL72" s="65">
        <f>BÖLCSŐDE!BL72+FALUHÁZ!BL72+ÓVODA!BL72+PMH!BL72+ÖNKORMÁNYZAT!BL72</f>
        <v>35579836.799999997</v>
      </c>
      <c r="BM72" s="65">
        <f>BÖLCSŐDE!BM72+FALUHÁZ!BM72+ÓVODA!BM72+PMH!BM72+ÖNKORMÁNYZAT!BM72</f>
        <v>40363900</v>
      </c>
      <c r="BN72" s="65">
        <f>BÖLCSŐDE!BN72+FALUHÁZ!BN72+ÓVODA!BN72+PMH!BN72+ÖNKORMÁNYZAT!BN72</f>
        <v>41047900</v>
      </c>
      <c r="BO72" s="65">
        <f>BÖLCSŐDE!BO72+FALUHÁZ!BO72+ÓVODA!BO72+PMH!BO72+ÖNKORMÁNYZAT!BO72</f>
        <v>44908671</v>
      </c>
      <c r="BP72" s="65">
        <f>BÖLCSŐDE!BP72+FALUHÁZ!BP72+ÓVODA!BP72+PMH!BP72+ÖNKORMÁNYZAT!BP72</f>
        <v>52398514.512000002</v>
      </c>
      <c r="BQ72" s="65">
        <f>BÖLCSŐDE!BQ72+FALUHÁZ!BQ72+ÓVODA!BQ72+PMH!BQ72+ÖNKORMÁNYZAT!BQ72</f>
        <v>57638365.963200003</v>
      </c>
      <c r="BR72" s="65">
        <f>BÖLCSŐDE!BR72+FALUHÁZ!BR72+ÓVODA!BR72+PMH!BR72+ÖNKORMÁNYZAT!BR72</f>
        <v>47579717</v>
      </c>
      <c r="BS72" s="65">
        <f>BÖLCSŐDE!BS72+FALUHÁZ!BS72+ÓVODA!BS72+PMH!BS72+ÖNKORMÁNYZAT!BS72</f>
        <v>47579717</v>
      </c>
      <c r="BT72" s="65">
        <f>BÖLCSŐDE!BT72+FALUHÁZ!BT72+ÓVODA!BT72+PMH!BT72+ÖNKORMÁNYZAT!BT72</f>
        <v>37857037</v>
      </c>
      <c r="BU72" s="65">
        <f>BÖLCSŐDE!BU72+FALUHÁZ!BU72+ÓVODA!BU72+PMH!BU72+ÖNKORMÁNYZAT!BU72</f>
        <v>46206000</v>
      </c>
      <c r="BV72" s="65">
        <f>BÖLCSŐDE!BV72+FALUHÁZ!BV72+ÓVODA!BV72+PMH!BV72+ÖNKORMÁNYZAT!BV72</f>
        <v>46724000</v>
      </c>
    </row>
    <row r="73" spans="1:74" x14ac:dyDescent="0.25">
      <c r="A73" s="54" t="s">
        <v>237</v>
      </c>
      <c r="B73" s="55" t="s">
        <v>238</v>
      </c>
      <c r="C73" s="55">
        <v>0</v>
      </c>
      <c r="D73" s="55"/>
      <c r="E73" s="55"/>
      <c r="F73" s="55"/>
      <c r="G73" s="55">
        <f>BÖLCSŐDE!G73+FALUHÁZ!G73+ÓVODA!G73+PMH!G73+ÖNKORMÁNYZAT!G73</f>
        <v>2465920</v>
      </c>
      <c r="H73" s="55">
        <f>BÖLCSŐDE!H73+FALUHÁZ!H73+ÓVODA!H73+PMH!H73+ÖNKORMÁNYZAT!H73</f>
        <v>820000</v>
      </c>
      <c r="I73" s="55">
        <f t="shared" si="0"/>
        <v>894545.45454545459</v>
      </c>
      <c r="J73" s="55">
        <v>0</v>
      </c>
      <c r="K73" s="55">
        <v>0</v>
      </c>
      <c r="L73" s="55">
        <f>BÖLCSŐDE!L73+FALUHÁZ!L73+ÓVODA!L73+PMH!L73+ÖNKORMÁNYZAT!L73</f>
        <v>0</v>
      </c>
      <c r="M73" s="1">
        <f t="shared" si="1"/>
        <v>0</v>
      </c>
      <c r="O73" s="55">
        <f>BÖLCSŐDE!O73+FALUHÁZ!N73+ÓVODA!O73+PMH!O73+ÖNKORMÁNYZAT!O73</f>
        <v>1646000</v>
      </c>
      <c r="P73" s="55">
        <f>BÖLCSŐDE!P73+FALUHÁZ!O73+ÓVODA!P73+PMH!P73+ÖNKORMÁNYZAT!P73</f>
        <v>0</v>
      </c>
      <c r="Q73" s="55">
        <f>BÖLCSŐDE!Q73+FALUHÁZ!P73+ÓVODA!Q73+PMH!Q73+ÖNKORMÁNYZAT!Q73</f>
        <v>0</v>
      </c>
      <c r="R73" s="55">
        <f>BÖLCSŐDE!R73+FALUHÁZ!Q73+ÓVODA!R73+PMH!R73+ÖNKORMÁNYZAT!R73</f>
        <v>0</v>
      </c>
      <c r="S73" s="55">
        <f>BÖLCSŐDE!S73+FALUHÁZ!R73+ÓVODA!S73+PMH!S73+ÖNKORMÁNYZAT!S73</f>
        <v>1736000</v>
      </c>
      <c r="T73" s="55">
        <f>BÖLCSŐDE!T73+FALUHÁZ!S73+ÓVODA!T73+PMH!T73+ÖNKORMÁNYZAT!T73</f>
        <v>0</v>
      </c>
      <c r="U73" s="55">
        <f>BÖLCSŐDE!U73+FALUHÁZ!T73+ÓVODA!U73+PMH!U73+ÖNKORMÁNYZAT!U73</f>
        <v>0</v>
      </c>
      <c r="V73" s="55">
        <f>BÖLCSŐDE!V73+FALUHÁZ!U73+ÓVODA!V73+PMH!V73+ÖNKORMÁNYZAT!V73</f>
        <v>0</v>
      </c>
      <c r="W73" s="55">
        <f>BÖLCSŐDE!W73+FALUHÁZ!V73+ÓVODA!W73+PMH!W73+ÖNKORMÁNYZAT!W73</f>
        <v>0</v>
      </c>
      <c r="X73" s="122"/>
      <c r="AA73" s="55">
        <f>BÖLCSŐDE!AA73+FALUHÁZ!Z73+ÓVODA!AA73+PMH!AA73+ÖNKORMÁNYZAT!AA73</f>
        <v>0</v>
      </c>
      <c r="AB73" s="55">
        <f>BÖLCSŐDE!AB73+FALUHÁZ!AA73+ÓVODA!AB73+PMH!AB73+ÖNKORMÁNYZAT!AB73</f>
        <v>39369000</v>
      </c>
      <c r="AC73" s="55">
        <f>BÖLCSŐDE!AB73+FALUHÁZ!AA73+ÓVODA!AB73+PMH!AB73+ÖNKORMÁNYZAT!AB73</f>
        <v>39369000</v>
      </c>
      <c r="AD73" s="55">
        <f>BÖLCSŐDE!AC73+FALUHÁZ!AB73+ÓVODA!AC73+PMH!AC73+ÖNKORMÁNYZAT!AC73</f>
        <v>81131000</v>
      </c>
      <c r="AE73" s="223">
        <f>BÖLCSŐDE!AE73+FALUHÁZ!AD73+ÓVODA!AE73+PMH!AE73+ÖNKORMÁNYZAT!AD73</f>
        <v>87496000</v>
      </c>
      <c r="AF73" s="122"/>
      <c r="AG73" s="55">
        <f>BÖLCSŐDE!AG72+FALUHÁZ!AG72+ÓVODA!AG72+PMH!AG72+ÖNKORMÁNYZAT!AG72</f>
        <v>21835497</v>
      </c>
      <c r="AH73" s="55"/>
      <c r="AI73" s="55">
        <f>BÖLCSŐDE!AI73+FALUHÁZ!AJ73+ÓVODA!AI73+PMH!AI73+ÖNKORMÁNYZAT!AI73</f>
        <v>120041568</v>
      </c>
      <c r="AJ73" s="55"/>
      <c r="AK73" s="55">
        <f>BÖLCSŐDE!AL73+FALUHÁZ!AK73+ÓVODA!AK73+PMH!AK73+ÖNKORMÁNYZAT!AK73</f>
        <v>712368</v>
      </c>
      <c r="AM73" s="55">
        <f>BÖLCSŐDE!AM73+FALUHÁZ!AM73+ÓVODA!AM73+PMH!AM73+ÖNKORMÁNYZAT!AM73</f>
        <v>131630276</v>
      </c>
      <c r="AN73" s="55">
        <f>BÖLCSŐDE!AN73+FALUHÁZ!AN73+ÓVODA!AP73+PMH!AN73+ÖNKORMÁNYZAT!AP73</f>
        <v>57767000</v>
      </c>
      <c r="AO73" s="55">
        <f>BÖLCSŐDE!AO73+FALUHÁZ!AO73+ÓVODA!AQ73+PMH!AO73+ÖNKORMÁNYZAT!AQ73</f>
        <v>51672238</v>
      </c>
      <c r="AP73" s="55">
        <f>BÖLCSŐDE!AP73+FALUHÁZ!AP73+ÓVODA!AP73+PMH!AP73+ÖNKORMÁNYZAT!AP73</f>
        <v>57767000</v>
      </c>
      <c r="AQ73" s="55">
        <f>BÖLCSŐDE!AQ73+FALUHÁZ!AQ73+ÓVODA!AQ73+PMH!AQ73+ÖNKORMÁNYZAT!AQ73</f>
        <v>51672238</v>
      </c>
      <c r="AR73" s="55">
        <f t="shared" si="9"/>
        <v>6094762</v>
      </c>
      <c r="AS73" s="54">
        <f t="shared" si="10"/>
        <v>89.449405369847838</v>
      </c>
      <c r="AT73" s="55">
        <f>BÖLCSŐDE!AT73+FALUHÁZ!AT73+ÓVODA!AT73+PMH!AT73+ÖNKORMÁNYZAT!AT73</f>
        <v>51677098</v>
      </c>
      <c r="AU73" s="55">
        <f t="shared" si="11"/>
        <v>6089902</v>
      </c>
      <c r="AV73" s="54">
        <f t="shared" si="12"/>
        <v>10.542181522322434</v>
      </c>
      <c r="AW73" s="55">
        <f>BÖLCSŐDE!AW73+FALUHÁZ!AW73+ÓVODA!AW73+PMH!AW73+ÖNKORMÁNYZAT!AW73</f>
        <v>712368</v>
      </c>
      <c r="AX73" s="55">
        <f>BÖLCSŐDE!AX73+FALUHÁZ!AX73+ÓVODA!AX73+PMH!AX73+ÖNKORMÁNYZAT!AX73</f>
        <v>40351548</v>
      </c>
      <c r="AY73" s="55">
        <f>BÖLCSŐDE!AY73+FALUHÁZ!AY73+ÓVODA!AY73+PMH!AY73+ÖNKORMÁNYZAT!AY73</f>
        <v>40351548</v>
      </c>
      <c r="AZ73" s="55">
        <f>BÖLCSŐDE!AZ73+FALUHÁZ!AZ73+ÓVODA!AZ73+PMH!AZ73+ÖNKORMÁNYZAT!AZ73</f>
        <v>40351548</v>
      </c>
      <c r="BA73" s="55">
        <f>BÖLCSŐDE!BA73+FALUHÁZ!BA73+ÓVODA!BA73+PMH!BA73+ÖNKORMÁNYZAT!BA73</f>
        <v>40351548</v>
      </c>
      <c r="BB73" s="501">
        <f>BÖLCSŐDE!BB73+FALUHÁZ!BB73+ÓVODA!BB73+PMH!BB73+ÖNKORMÁNYZAT!BB73</f>
        <v>40351549</v>
      </c>
      <c r="BC73" s="501">
        <f>BÖLCSŐDE!BC73+FALUHÁZ!BC73+ÓVODA!BC73+PMH!BC73+ÖNKORMÁNYZAT!BC73</f>
        <v>78431819</v>
      </c>
      <c r="BD73" s="501">
        <f>BÖLCSŐDE!BD73+FALUHÁZ!BD73+ÓVODA!BD73+PMH!BD73+ÖNKORMÁNYZAT!BD73</f>
        <v>69964973</v>
      </c>
      <c r="BE73" s="501">
        <f>BÖLCSŐDE!BE73+FALUHÁZ!BE73+ÓVODA!BE73+PMH!BE73+ÖNKORMÁNYZAT!BE73</f>
        <v>89355008</v>
      </c>
      <c r="BF73" s="501">
        <f>BÖLCSŐDE!BF73+FALUHÁZ!BF73+ÓVODA!BF73+PMH!BF73+ÖNKORMÁNYZAT!BF73</f>
        <v>94403918</v>
      </c>
      <c r="BG73" s="383">
        <f>BÖLCSŐDE!BG73+FALUHÁZ!BG73+ÓVODA!BG73+PMH!BG73+ÖNKORMÁNYZAT!BG73</f>
        <v>113284701.59999999</v>
      </c>
      <c r="BH73" s="65">
        <f>BÖLCSŐDE!BH73+FALUHÁZ!BH73+ÓVODA!BH73+PMH!BH73+ÖNKORMÁNYZAT!BH73</f>
        <v>44132314.400000006</v>
      </c>
      <c r="BI73" s="65">
        <f>BÖLCSŐDE!BI73+FALUHÁZ!BI73+ÓVODA!BI73+PMH!BI73+ÖNKORMÁNYZAT!BI73</f>
        <v>43021314</v>
      </c>
      <c r="BJ73" s="65">
        <f>BÖLCSŐDE!BJ73+FALUHÁZ!BJ73+ÓVODA!BJ73+PMH!BJ73+ÖNKORMÁNYZAT!BJ73</f>
        <v>18237704</v>
      </c>
      <c r="BK73" s="65">
        <f>BÖLCSŐDE!BK73+FALUHÁZ!BK73+ÓVODA!BK73+PMH!BK73+ÖNKORMÁNYZAT!BK73</f>
        <v>21122704</v>
      </c>
      <c r="BL73" s="65">
        <f>BÖLCSŐDE!BL73+FALUHÁZ!BL73+ÓVODA!BL73+PMH!BL73+ÖNKORMÁNYZAT!BL73</f>
        <v>25347244.799999997</v>
      </c>
      <c r="BM73" s="65">
        <f>BÖLCSŐDE!BM73+FALUHÁZ!BM73+ÓVODA!BM73+PMH!BM73+ÖNKORMÁNYZAT!BM73</f>
        <v>500000</v>
      </c>
      <c r="BN73" s="65">
        <f>BÖLCSŐDE!BN73+FALUHÁZ!BN73+ÓVODA!BN73+PMH!BN73+ÖNKORMÁNYZAT!BN73</f>
        <v>500000</v>
      </c>
      <c r="BO73" s="65">
        <f>BÖLCSŐDE!BO73+FALUHÁZ!BO73+ÓVODA!BO73+PMH!BO73+ÖNKORMÁNYZAT!BO73</f>
        <v>9848000</v>
      </c>
      <c r="BP73" s="65">
        <f>BÖLCSŐDE!BP73+FALUHÁZ!BP73+ÓVODA!BP73+PMH!BP73+ÖNKORMÁNYZAT!BP73</f>
        <v>11817600</v>
      </c>
      <c r="BQ73" s="65">
        <f>BÖLCSŐDE!BQ73+FALUHÁZ!BQ73+ÓVODA!BQ73+PMH!BQ73+ÖNKORMÁNYZAT!BQ73</f>
        <v>12999360</v>
      </c>
      <c r="BR73" s="65">
        <f>BÖLCSŐDE!BR73+FALUHÁZ!BR73+ÓVODA!BR73+PMH!BR73+ÖNKORMÁNYZAT!BR73</f>
        <v>0</v>
      </c>
      <c r="BS73" s="65">
        <f>BÖLCSŐDE!BS73+FALUHÁZ!BS73+ÓVODA!BS73+PMH!BS73+ÖNKORMÁNYZAT!BS73</f>
        <v>0</v>
      </c>
      <c r="BT73" s="65">
        <f>BÖLCSŐDE!BT73+FALUHÁZ!BT73+ÓVODA!BT73+PMH!BT73+ÖNKORMÁNYZAT!BT73</f>
        <v>0</v>
      </c>
      <c r="BU73" s="65">
        <f>BÖLCSŐDE!BU73+FALUHÁZ!BU73+ÓVODA!BU73+PMH!BU73+ÖNKORMÁNYZAT!BU73</f>
        <v>29191000</v>
      </c>
      <c r="BV73" s="65">
        <f>BÖLCSŐDE!BV73+FALUHÁZ!BV73+ÓVODA!BV73+PMH!BV73+ÖNKORMÁNYZAT!BV73</f>
        <v>29865000</v>
      </c>
    </row>
    <row r="74" spans="1:74" x14ac:dyDescent="0.25">
      <c r="A74" s="54" t="s">
        <v>52</v>
      </c>
      <c r="B74" s="58" t="s">
        <v>199</v>
      </c>
      <c r="C74" s="65">
        <f>BÖLCSŐDE!C74+FALUHÁZ!C74+ÓVODA!C74+PMH!C74+ÖNKORMÁNYZAT!C74</f>
        <v>847</v>
      </c>
      <c r="D74" s="65">
        <f>BÖLCSŐDE!D74+FALUHÁZ!D74+ÓVODA!D74+PMH!D74+ÖNKORMÁNYZAT!D74</f>
        <v>279815</v>
      </c>
      <c r="E74" s="65">
        <f>BÖLCSŐDE!E74+FALUHÁZ!E74+ÓVODA!E74+PMH!E74+ÖNKORMÁNYZAT!E74</f>
        <v>847</v>
      </c>
      <c r="F74" s="65">
        <f>BÖLCSŐDE!F74+FALUHÁZ!F74+ÓVODA!F74+PMH!F74+ÖNKORMÁNYZAT!F74</f>
        <v>0</v>
      </c>
      <c r="G74" s="65">
        <f>BÖLCSŐDE!G74+FALUHÁZ!G74+ÓVODA!G74+PMH!G74+ÖNKORMÁNYZAT!G74</f>
        <v>847</v>
      </c>
      <c r="H74" s="65">
        <f>BÖLCSŐDE!H74+FALUHÁZ!H74+ÓVODA!H74+PMH!H74+ÖNKORMÁNYZAT!H74</f>
        <v>0</v>
      </c>
      <c r="I74" s="65">
        <f t="shared" si="0"/>
        <v>0</v>
      </c>
      <c r="J74" s="65">
        <v>0</v>
      </c>
      <c r="K74" s="65">
        <v>0</v>
      </c>
      <c r="L74" s="65">
        <f>BÖLCSŐDE!L74+FALUHÁZ!L74+ÓVODA!L74+PMH!L74+ÖNKORMÁNYZAT!L74</f>
        <v>0</v>
      </c>
      <c r="M74" s="14">
        <f t="shared" si="1"/>
        <v>0</v>
      </c>
      <c r="O74" s="65">
        <f>BÖLCSŐDE!O74+FALUHÁZ!N74+ÓVODA!O74+PMH!O74+ÖNKORMÁNYZAT!O74</f>
        <v>0</v>
      </c>
      <c r="P74" s="65">
        <f>BÖLCSŐDE!P74+FALUHÁZ!O74+ÓVODA!P74+PMH!P74+ÖNKORMÁNYZAT!P74</f>
        <v>0</v>
      </c>
      <c r="Q74" s="65">
        <f>BÖLCSŐDE!Q74+FALUHÁZ!P74+ÓVODA!Q74+PMH!Q74+ÖNKORMÁNYZAT!Q74</f>
        <v>0</v>
      </c>
      <c r="R74" s="65">
        <f>BÖLCSŐDE!R74+FALUHÁZ!Q74+ÓVODA!R74+PMH!R74+ÖNKORMÁNYZAT!R74</f>
        <v>0</v>
      </c>
      <c r="S74" s="65">
        <f>BÖLCSŐDE!S74+FALUHÁZ!R74+ÓVODA!S74+PMH!S74+ÖNKORMÁNYZAT!S74</f>
        <v>0</v>
      </c>
      <c r="T74" s="65">
        <f>BÖLCSŐDE!T74+FALUHÁZ!S74+ÓVODA!T74+PMH!T74+ÖNKORMÁNYZAT!T74</f>
        <v>0</v>
      </c>
      <c r="U74" s="65">
        <f>BÖLCSŐDE!U74+FALUHÁZ!T74+ÓVODA!U74+PMH!U74+ÖNKORMÁNYZAT!U74</f>
        <v>0</v>
      </c>
      <c r="V74" s="65">
        <f>BÖLCSŐDE!V74+FALUHÁZ!U74+ÓVODA!V74+PMH!V74+ÖNKORMÁNYZAT!V74</f>
        <v>0</v>
      </c>
      <c r="W74" s="65">
        <f>BÖLCSŐDE!W74+FALUHÁZ!V74+ÓVODA!W74+PMH!W74+ÖNKORMÁNYZAT!W74</f>
        <v>0</v>
      </c>
      <c r="X74" s="121"/>
      <c r="AA74" s="65">
        <f>BÖLCSŐDE!AA74+FALUHÁZ!Z74+ÓVODA!AA74+PMH!AA74+ÖNKORMÁNYZAT!AA74</f>
        <v>0</v>
      </c>
      <c r="AB74" s="65">
        <f>BÖLCSŐDE!AB74+FALUHÁZ!AA74+ÓVODA!AB74+PMH!AB74+ÖNKORMÁNYZAT!AB74</f>
        <v>0</v>
      </c>
      <c r="AC74" s="65">
        <f>BÖLCSŐDE!AB74+FALUHÁZ!AA74+ÓVODA!AB74+PMH!AB74+ÖNKORMÁNYZAT!AB74</f>
        <v>0</v>
      </c>
      <c r="AD74" s="65">
        <f>BÖLCSŐDE!AC74+FALUHÁZ!AB74+ÓVODA!AC74+PMH!AC74+ÖNKORMÁNYZAT!AC74</f>
        <v>0</v>
      </c>
      <c r="AE74" s="222">
        <f>BÖLCSŐDE!AE74+FALUHÁZ!AD74+ÓVODA!AE74+PMH!AE74+ÖNKORMÁNYZAT!AD74</f>
        <v>0</v>
      </c>
      <c r="AF74" s="121"/>
      <c r="AG74" s="65">
        <f>BÖLCSŐDE!AG73+FALUHÁZ!AG73+ÓVODA!AG73+PMH!AG73+ÖNKORMÁNYZAT!AG73</f>
        <v>100122000</v>
      </c>
      <c r="AH74" s="65"/>
      <c r="AI74" s="65">
        <f>BÖLCSŐDE!AI74+FALUHÁZ!AJ74+ÓVODA!AI74+PMH!AI74+ÖNKORMÁNYZAT!AI74</f>
        <v>0</v>
      </c>
      <c r="AJ74" s="65"/>
      <c r="AK74" s="65">
        <f>BÖLCSŐDE!AL74+FALUHÁZ!AK74+ÓVODA!AK74+PMH!AK74+ÖNKORMÁNYZAT!AK74</f>
        <v>0</v>
      </c>
      <c r="AM74" s="65">
        <f>BÖLCSŐDE!AM74+FALUHÁZ!AM74+ÓVODA!AM74+PMH!AM74+ÖNKORMÁNYZAT!AM74</f>
        <v>0</v>
      </c>
      <c r="AN74" s="65">
        <f>BÖLCSŐDE!AN74+FALUHÁZ!AN74+ÓVODA!AP74+PMH!AN74+ÖNKORMÁNYZAT!AP74</f>
        <v>0</v>
      </c>
      <c r="AO74" s="65">
        <f>BÖLCSŐDE!AO74+FALUHÁZ!AO74+ÓVODA!AQ74+PMH!AO74+ÖNKORMÁNYZAT!AQ74</f>
        <v>0</v>
      </c>
      <c r="AP74" s="65">
        <f>BÖLCSŐDE!AP74+FALUHÁZ!AP74+ÓVODA!AP74+PMH!AP74+ÖNKORMÁNYZAT!AP74</f>
        <v>0</v>
      </c>
      <c r="AQ74" s="65">
        <f>BÖLCSŐDE!AQ74+FALUHÁZ!AQ74+ÓVODA!AQ74+PMH!AQ74+ÖNKORMÁNYZAT!AQ74</f>
        <v>0</v>
      </c>
      <c r="AR74" s="65">
        <f t="shared" si="9"/>
        <v>0</v>
      </c>
      <c r="AS74" s="54"/>
      <c r="AT74" s="65">
        <f>BÖLCSŐDE!AT74+FALUHÁZ!AT74+ÓVODA!AT74+PMH!AT74+ÖNKORMÁNYZAT!AT74</f>
        <v>0</v>
      </c>
      <c r="AU74" s="65"/>
      <c r="AV74" s="54"/>
      <c r="AW74" s="65">
        <f>BÖLCSŐDE!AW74+FALUHÁZ!AW74+ÓVODA!AW74+PMH!AW74+ÖNKORMÁNYZAT!AW74</f>
        <v>0</v>
      </c>
      <c r="AX74" s="65">
        <f>BÖLCSŐDE!AX74+FALUHÁZ!AX74+ÓVODA!AX74+PMH!AX74+ÖNKORMÁNYZAT!AX74</f>
        <v>0</v>
      </c>
      <c r="AY74" s="65">
        <f>BÖLCSŐDE!AY74+FALUHÁZ!AY74+ÓVODA!AY74+PMH!AY74+ÖNKORMÁNYZAT!AY74</f>
        <v>0</v>
      </c>
      <c r="AZ74" s="65">
        <f>BÖLCSŐDE!AZ74+FALUHÁZ!AZ74+ÓVODA!AZ74+PMH!AZ74+ÖNKORMÁNYZAT!AZ74</f>
        <v>0</v>
      </c>
      <c r="BA74" s="65">
        <f>BÖLCSŐDE!BA74+FALUHÁZ!BA74+ÓVODA!BA74+PMH!BA74+ÖNKORMÁNYZAT!BA74</f>
        <v>0</v>
      </c>
      <c r="BB74" s="65">
        <f>BÖLCSŐDE!BB74+FALUHÁZ!BB74+ÓVODA!BB74+PMH!BB74+ÖNKORMÁNYZAT!BB74</f>
        <v>0</v>
      </c>
      <c r="BC74" s="65">
        <f>BÖLCSŐDE!BC74+FALUHÁZ!BC74+ÓVODA!BC74+PMH!BC74+ÖNKORMÁNYZAT!BC74</f>
        <v>64977</v>
      </c>
      <c r="BD74" s="65">
        <f>BÖLCSŐDE!BD74+FALUHÁZ!BD74+ÓVODA!BD74+PMH!BD74+ÖNKORMÁNYZAT!BD74</f>
        <v>22985</v>
      </c>
      <c r="BE74" s="65">
        <f>BÖLCSŐDE!BE74+FALUHÁZ!BE74+ÓVODA!BE74+PMH!BE74+ÖNKORMÁNYZAT!BE74</f>
        <v>22985</v>
      </c>
      <c r="BF74" s="65">
        <f>BÖLCSŐDE!BF74+FALUHÁZ!BF74+ÓVODA!BF74+PMH!BF74+ÖNKORMÁNYZAT!BF74</f>
        <v>22985</v>
      </c>
      <c r="BG74" s="65">
        <f>BÖLCSŐDE!BG74+FALUHÁZ!BG74+ÓVODA!BG74+PMH!BG74+ÖNKORMÁNYZAT!BG74</f>
        <v>27582</v>
      </c>
      <c r="BH74" s="65">
        <f>BÖLCSŐDE!BH74+FALUHÁZ!BH74+ÓVODA!BH74+PMH!BH74+ÖNKORMÁNYZAT!BH74</f>
        <v>0</v>
      </c>
      <c r="BI74" s="65">
        <f>BÖLCSŐDE!BI74+FALUHÁZ!BI74+ÓVODA!BI74+PMH!BI74+ÖNKORMÁNYZAT!BI74</f>
        <v>0</v>
      </c>
      <c r="BJ74" s="65">
        <f>BÖLCSŐDE!BJ74+FALUHÁZ!BJ74+ÓVODA!BJ74+PMH!BJ74+ÖNKORMÁNYZAT!BJ74</f>
        <v>0</v>
      </c>
      <c r="BK74" s="65">
        <f>BÖLCSŐDE!BK74+FALUHÁZ!BK74+ÓVODA!BK74+PMH!BK74+ÖNKORMÁNYZAT!BK74</f>
        <v>0</v>
      </c>
      <c r="BL74" s="65">
        <f>BÖLCSŐDE!BL74+FALUHÁZ!BL74+ÓVODA!BL74+PMH!BL74+ÖNKORMÁNYZAT!BL74</f>
        <v>10245000</v>
      </c>
      <c r="BM74" s="65">
        <f>BÖLCSŐDE!BM74+FALUHÁZ!BM74+ÓVODA!BM74+PMH!BM74+ÖNKORMÁNYZAT!BM74</f>
        <v>13100000</v>
      </c>
      <c r="BN74" s="65">
        <f>BÖLCSŐDE!BN74+FALUHÁZ!BN74+ÓVODA!BN74+PMH!BN74+ÖNKORMÁNYZAT!BN74</f>
        <v>13100000</v>
      </c>
      <c r="BO74" s="65">
        <f>BÖLCSŐDE!BO74+FALUHÁZ!BO74+ÓVODA!BO74+PMH!BO74+ÖNKORMÁNYZAT!BO74</f>
        <v>2807506</v>
      </c>
      <c r="BP74" s="65">
        <f>BÖLCSŐDE!BP74+FALUHÁZ!BP74+ÓVODA!BP74+PMH!BP74+ÖNKORMÁNYZAT!BP74</f>
        <v>3369007.1999999997</v>
      </c>
      <c r="BQ74" s="65">
        <f>BÖLCSŐDE!BQ74+FALUHÁZ!BQ74+ÓVODA!BQ74+PMH!BQ74+ÖNKORMÁNYZAT!BQ74</f>
        <v>3705907.92</v>
      </c>
      <c r="BR74" s="65">
        <f>BÖLCSŐDE!BR74+FALUHÁZ!BR74+ÓVODA!BR74+PMH!BR74+ÖNKORMÁNYZAT!BR74</f>
        <v>4000000</v>
      </c>
      <c r="BS74" s="65">
        <f>BÖLCSŐDE!BS74+FALUHÁZ!BS74+ÓVODA!BS74+PMH!BS74+ÖNKORMÁNYZAT!BS74</f>
        <v>4000000</v>
      </c>
      <c r="BT74" s="65">
        <f>BÖLCSŐDE!BT74+FALUHÁZ!BT74+ÓVODA!BT74+PMH!BT74+ÖNKORMÁNYZAT!BT74</f>
        <v>3000000</v>
      </c>
      <c r="BU74" s="65">
        <f>BÖLCSŐDE!BU74+FALUHÁZ!BU74+ÓVODA!BU74+PMH!BU74+ÖNKORMÁNYZAT!BU74</f>
        <v>3065000</v>
      </c>
      <c r="BV74" s="65">
        <f>BÖLCSŐDE!BV74+FALUHÁZ!BV74+ÓVODA!BV74+PMH!BV74+ÖNKORMÁNYZAT!BV74</f>
        <v>3040000</v>
      </c>
    </row>
    <row r="75" spans="1:74" x14ac:dyDescent="0.25">
      <c r="A75" s="54" t="s">
        <v>562</v>
      </c>
      <c r="B75" s="58" t="s">
        <v>563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14"/>
      <c r="O75" s="65"/>
      <c r="P75" s="65"/>
      <c r="Q75" s="65"/>
      <c r="R75" s="65"/>
      <c r="S75" s="65"/>
      <c r="T75" s="65"/>
      <c r="U75" s="65"/>
      <c r="V75" s="65"/>
      <c r="W75" s="65"/>
      <c r="X75" s="121"/>
      <c r="AA75" s="65"/>
      <c r="AB75" s="65"/>
      <c r="AC75" s="65"/>
      <c r="AD75" s="65"/>
      <c r="AE75" s="222"/>
      <c r="AF75" s="121"/>
      <c r="AG75" s="65"/>
      <c r="AH75" s="65"/>
      <c r="AI75" s="65"/>
      <c r="AJ75" s="65"/>
      <c r="AK75" s="65"/>
      <c r="AM75" s="65"/>
      <c r="AN75" s="65">
        <f>BÖLCSŐDE!AN75+FALUHÁZ!AN75+ÓVODA!AP75+PMH!AN75+ÖNKORMÁNYZAT!AP75</f>
        <v>9000</v>
      </c>
      <c r="AO75" s="65"/>
      <c r="AP75" s="65">
        <f>BÖLCSŐDE!AP75+FALUHÁZ!AP75+ÓVODA!AP75+PMH!AP75+ÖNKORMÁNYZAT!AP75</f>
        <v>9000</v>
      </c>
      <c r="AQ75" s="65">
        <f>BÖLCSŐDE!AQ75+FALUHÁZ!AQ75+ÓVODA!AQ75+PMH!AQ75+ÖNKORMÁNYZAT!AQ75</f>
        <v>0</v>
      </c>
      <c r="AR75" s="65">
        <f t="shared" si="9"/>
        <v>9000</v>
      </c>
      <c r="AS75" s="54">
        <f t="shared" si="10"/>
        <v>0</v>
      </c>
      <c r="AT75" s="65">
        <f>BÖLCSŐDE!AT75+FALUHÁZ!AT75+ÓVODA!AT75+PMH!AT75+ÖNKORMÁNYZAT!AT75</f>
        <v>0</v>
      </c>
      <c r="AU75" s="65">
        <f t="shared" si="11"/>
        <v>9000</v>
      </c>
      <c r="AV75" s="54">
        <f t="shared" si="12"/>
        <v>100</v>
      </c>
      <c r="AW75" s="65">
        <f>BÖLCSŐDE!AW75+FALUHÁZ!AW75+ÓVODA!AW75+PMH!AW75+ÖNKORMÁNYZAT!AW75</f>
        <v>0</v>
      </c>
      <c r="AX75" s="65">
        <f>BÖLCSŐDE!AX75+FALUHÁZ!AX75+ÓVODA!AX75+PMH!AX75+ÖNKORMÁNYZAT!AX75</f>
        <v>0</v>
      </c>
      <c r="AY75" s="65">
        <f>BÖLCSŐDE!AY75+FALUHÁZ!AY75+ÓVODA!AY75+PMH!AY75+ÖNKORMÁNYZAT!AY75</f>
        <v>0</v>
      </c>
      <c r="AZ75" s="65">
        <f>BÖLCSŐDE!AZ75+FALUHÁZ!AZ75+ÓVODA!AZ75+PMH!AZ75+ÖNKORMÁNYZAT!AZ75</f>
        <v>0</v>
      </c>
      <c r="BA75" s="65">
        <f>BÖLCSŐDE!BA75+FALUHÁZ!BA75+ÓVODA!BA75+PMH!BA75+ÖNKORMÁNYZAT!BA75</f>
        <v>0</v>
      </c>
      <c r="BB75" s="65">
        <f>BÖLCSŐDE!BB75+FALUHÁZ!BB75+ÓVODA!BB75+PMH!BB75+ÖNKORMÁNYZAT!BB75</f>
        <v>0</v>
      </c>
      <c r="BC75" s="65">
        <f>BÖLCSŐDE!BC75+FALUHÁZ!BC75+ÓVODA!BC75+PMH!BC75+ÖNKORMÁNYZAT!BC75</f>
        <v>0</v>
      </c>
      <c r="BD75" s="65">
        <f>BÖLCSŐDE!BD75+FALUHÁZ!BD75+ÓVODA!BD75+PMH!BD75+ÖNKORMÁNYZAT!BD75</f>
        <v>0</v>
      </c>
      <c r="BE75" s="65">
        <f>BÖLCSŐDE!BE75+FALUHÁZ!BE75+ÓVODA!BE75+PMH!BE75+ÖNKORMÁNYZAT!BE75</f>
        <v>0</v>
      </c>
      <c r="BF75" s="65">
        <f>BÖLCSŐDE!BF75+FALUHÁZ!BF75+ÓVODA!BF75+PMH!BF75+ÖNKORMÁNYZAT!BF75</f>
        <v>0</v>
      </c>
      <c r="BG75" s="65">
        <f>BÖLCSŐDE!BG75+FALUHÁZ!BG75+ÓVODA!BG75+PMH!BG75+ÖNKORMÁNYZAT!BG75</f>
        <v>0</v>
      </c>
      <c r="BH75" s="65">
        <f>BÖLCSŐDE!BH75+FALUHÁZ!BH75+ÓVODA!BH75+PMH!BH75+ÖNKORMÁNYZAT!BH75</f>
        <v>0</v>
      </c>
      <c r="BI75" s="65">
        <f>BÖLCSŐDE!BI75+FALUHÁZ!BI75+ÓVODA!BI75+PMH!BI75+ÖNKORMÁNYZAT!BI75</f>
        <v>0</v>
      </c>
      <c r="BJ75" s="65">
        <f>BÖLCSŐDE!BJ75+FALUHÁZ!BJ75+ÓVODA!BJ75+PMH!BJ75+ÖNKORMÁNYZAT!BJ75</f>
        <v>0</v>
      </c>
      <c r="BK75" s="65">
        <f>BÖLCSŐDE!BK75+FALUHÁZ!BK75+ÓVODA!BK75+PMH!BK75+ÖNKORMÁNYZAT!BK75</f>
        <v>0</v>
      </c>
      <c r="BL75" s="65">
        <f>BÖLCSŐDE!BL75+FALUHÁZ!BL75+ÓVODA!BL75+PMH!BL75+ÖNKORMÁNYZAT!BL75</f>
        <v>0</v>
      </c>
      <c r="BM75" s="65">
        <f>BÖLCSŐDE!BM75+FALUHÁZ!BM75+ÓVODA!BM75+PMH!BM75+ÖNKORMÁNYZAT!BM75</f>
        <v>0</v>
      </c>
      <c r="BN75" s="65">
        <f>BÖLCSŐDE!BN75+FALUHÁZ!BN75+ÓVODA!BN75+PMH!BN75+ÖNKORMÁNYZAT!BN75</f>
        <v>0</v>
      </c>
      <c r="BO75" s="65">
        <f>BÖLCSŐDE!BO75+FALUHÁZ!BO75+ÓVODA!BO75+PMH!BO75+ÖNKORMÁNYZAT!BO75</f>
        <v>0</v>
      </c>
      <c r="BP75" s="65">
        <f>BÖLCSŐDE!BP75+FALUHÁZ!BP75+ÓVODA!BP75+PMH!BP75+ÖNKORMÁNYZAT!BP75</f>
        <v>0</v>
      </c>
      <c r="BQ75" s="65">
        <f>BÖLCSŐDE!BQ75+FALUHÁZ!BQ75+ÓVODA!BQ75+PMH!BQ75+ÖNKORMÁNYZAT!BQ75</f>
        <v>0</v>
      </c>
      <c r="BR75" s="65">
        <f>BÖLCSŐDE!BR75+FALUHÁZ!BR75+ÓVODA!BR75+PMH!BR75+ÖNKORMÁNYZAT!BR75</f>
        <v>0</v>
      </c>
      <c r="BS75" s="65">
        <f>BÖLCSŐDE!BS75+FALUHÁZ!BS75+ÓVODA!BS75+PMH!BS75+ÖNKORMÁNYZAT!BS75</f>
        <v>0</v>
      </c>
      <c r="BT75" s="65">
        <f>BÖLCSŐDE!BT75+FALUHÁZ!BT75+ÓVODA!BT75+PMH!BT75+ÖNKORMÁNYZAT!BT75</f>
        <v>0</v>
      </c>
      <c r="BU75" s="65">
        <f>BÖLCSŐDE!BU75+FALUHÁZ!BU75+ÓVODA!BU75+PMH!BU75+ÖNKORMÁNYZAT!BU75</f>
        <v>0</v>
      </c>
      <c r="BV75" s="65">
        <f>BÖLCSŐDE!BV75+FALUHÁZ!BV75+ÓVODA!BV75+PMH!BV75+ÖNKORMÁNYZAT!BV75</f>
        <v>0</v>
      </c>
    </row>
    <row r="76" spans="1:74" x14ac:dyDescent="0.25">
      <c r="A76" s="54" t="s">
        <v>53</v>
      </c>
      <c r="B76" s="55" t="s">
        <v>161</v>
      </c>
      <c r="C76" s="55">
        <f>BÖLCSŐDE!C76+FALUHÁZ!C76+ÓVODA!C76+PMH!C76+ÖNKORMÁNYZAT!C76</f>
        <v>5231000</v>
      </c>
      <c r="D76" s="55">
        <f>BÖLCSŐDE!D76+FALUHÁZ!D76+ÓVODA!D76+PMH!D76+ÖNKORMÁNYZAT!D76</f>
        <v>11862462</v>
      </c>
      <c r="E76" s="55">
        <f>BÖLCSŐDE!E76+FALUHÁZ!E76+ÓVODA!E76+PMH!E76+ÖNKORMÁNYZAT!E76</f>
        <v>5171000</v>
      </c>
      <c r="F76" s="55">
        <f>BÖLCSŐDE!F76+FALUHÁZ!F76+ÓVODA!F76+PMH!F76+ÖNKORMÁNYZAT!F76</f>
        <v>5491452</v>
      </c>
      <c r="G76" s="55">
        <f>BÖLCSŐDE!G76+FALUHÁZ!G76+ÓVODA!G76+PMH!G76+ÖNKORMÁNYZAT!G76</f>
        <v>8415598</v>
      </c>
      <c r="H76" s="55">
        <f>BÖLCSŐDE!H76+FALUHÁZ!H76+ÓVODA!H76+PMH!H76+ÖNKORMÁNYZAT!H76</f>
        <v>6041452</v>
      </c>
      <c r="I76" s="55">
        <f t="shared" si="0"/>
        <v>6590674.9090909092</v>
      </c>
      <c r="J76" s="55">
        <v>8021000</v>
      </c>
      <c r="K76" s="55">
        <v>5021000</v>
      </c>
      <c r="L76" s="55">
        <f>BÖLCSŐDE!L76+FALUHÁZ!L76+ÓVODA!L76+PMH!L76+ÖNKORMÁNYZAT!L76</f>
        <v>5021000</v>
      </c>
      <c r="M76" s="1">
        <f t="shared" si="1"/>
        <v>76.183396530061529</v>
      </c>
      <c r="O76" s="55">
        <f>BÖLCSŐDE!O76+FALUHÁZ!N76+ÓVODA!O76+PMH!O76+ÖNKORMÁNYZAT!O76</f>
        <v>5833353</v>
      </c>
      <c r="P76" s="55">
        <f>BÖLCSŐDE!P76+FALUHÁZ!O76+ÓVODA!P76+PMH!P76+ÖNKORMÁNYZAT!P76</f>
        <v>487700</v>
      </c>
      <c r="Q76" s="55">
        <f>BÖLCSŐDE!Q76+FALUHÁZ!P76+ÓVODA!Q76+PMH!Q76+ÖNKORMÁNYZAT!Q76</f>
        <v>487700</v>
      </c>
      <c r="R76" s="55">
        <f>BÖLCSŐDE!R76+FALUHÁZ!Q76+ÓVODA!R76+PMH!R76+ÖNKORMÁNYZAT!R76</f>
        <v>5021000</v>
      </c>
      <c r="S76" s="55">
        <f>BÖLCSŐDE!S76+FALUHÁZ!R76+ÓVODA!S76+PMH!S76+ÖNKORMÁNYZAT!S76</f>
        <v>623000</v>
      </c>
      <c r="T76" s="55">
        <f>BÖLCSŐDE!T76+FALUHÁZ!S76+ÓVODA!T76+PMH!T76+ÖNKORMÁNYZAT!T76</f>
        <v>489700</v>
      </c>
      <c r="U76" s="55">
        <f>BÖLCSŐDE!U76+FALUHÁZ!T76+ÓVODA!U76+PMH!U76+ÖNKORMÁNYZAT!U76</f>
        <v>523000</v>
      </c>
      <c r="V76" s="55">
        <f>BÖLCSŐDE!V76+FALUHÁZ!U76+ÓVODA!V76+PMH!V76+ÖNKORMÁNYZAT!V76</f>
        <v>523000</v>
      </c>
      <c r="W76" s="55">
        <f>BÖLCSŐDE!W76+FALUHÁZ!V76+ÓVODA!W76+PMH!W76+ÖNKORMÁNYZAT!W76</f>
        <v>523000</v>
      </c>
      <c r="X76" s="122">
        <f t="shared" si="2"/>
        <v>93.632887189292546</v>
      </c>
      <c r="AA76" s="55">
        <f>BÖLCSŐDE!AA76+FALUHÁZ!Z76+ÓVODA!AA76+PMH!AA76+ÖNKORMÁNYZAT!AA76</f>
        <v>23000</v>
      </c>
      <c r="AB76" s="55">
        <f>BÖLCSŐDE!AB76+FALUHÁZ!AA76+ÓVODA!AB76+PMH!AB76+ÖNKORMÁNYZAT!AB76</f>
        <v>169000</v>
      </c>
      <c r="AC76" s="55">
        <f>BÖLCSŐDE!AB76+FALUHÁZ!AA76+ÓVODA!AB76+PMH!AB76+ÖNKORMÁNYZAT!AB76</f>
        <v>169000</v>
      </c>
      <c r="AD76" s="55">
        <f>BÖLCSŐDE!AC76+FALUHÁZ!AB76+ÓVODA!AC76+PMH!AC76+ÖNKORMÁNYZAT!AC76</f>
        <v>169000</v>
      </c>
      <c r="AE76" s="223">
        <f>BÖLCSŐDE!AE76+FALUHÁZ!AD76+ÓVODA!AE76+PMH!AE76+ÖNKORMÁNYZAT!AD76</f>
        <v>146000</v>
      </c>
      <c r="AF76" s="122">
        <f t="shared" ref="AF76:AF100" si="13">AD76/AA76*100</f>
        <v>734.78260869565213</v>
      </c>
      <c r="AG76" s="55">
        <f>BÖLCSŐDE!AG74+FALUHÁZ!AG74+ÓVODA!AG74+PMH!AG74+ÖNKORMÁNYZAT!AG74</f>
        <v>0</v>
      </c>
      <c r="AH76" s="55"/>
      <c r="AI76" s="55">
        <f>BÖLCSŐDE!AI76+FALUHÁZ!AJ76+ÓVODA!AI76+PMH!AI76+ÖNKORMÁNYZAT!AI76</f>
        <v>215200</v>
      </c>
      <c r="AJ76" s="55"/>
      <c r="AK76" s="55">
        <f>BÖLCSŐDE!AL76+FALUHÁZ!AK76+ÓVODA!AK76+PMH!AK76+ÖNKORMÁNYZAT!AK76</f>
        <v>215200</v>
      </c>
      <c r="AM76" s="55">
        <f>BÖLCSŐDE!AM76+FALUHÁZ!AM76+ÓVODA!AM76+PMH!AM76+ÖNKORMÁNYZAT!AM76</f>
        <v>5207643</v>
      </c>
      <c r="AN76" s="55">
        <f>BÖLCSŐDE!AN76+FALUHÁZ!AN76+ÓVODA!AP76+PMH!AN76+ÖNKORMÁNYZAT!AP76</f>
        <v>366200</v>
      </c>
      <c r="AO76" s="55">
        <f>BÖLCSŐDE!AO76+FALUHÁZ!AO76+ÓVODA!AQ76+PMH!AO76+ÖNKORMÁNYZAT!AQ76</f>
        <v>276848</v>
      </c>
      <c r="AP76" s="55">
        <f>BÖLCSŐDE!AP76+FALUHÁZ!AP76+ÓVODA!AP76+PMH!AP76+ÖNKORMÁNYZAT!AP76</f>
        <v>326200</v>
      </c>
      <c r="AQ76" s="55">
        <f>BÖLCSŐDE!AQ76+FALUHÁZ!AQ76+ÓVODA!AQ76+PMH!AQ76+ÖNKORMÁNYZAT!AQ76</f>
        <v>276848</v>
      </c>
      <c r="AR76" s="55">
        <f t="shared" si="9"/>
        <v>49352</v>
      </c>
      <c r="AS76" s="54">
        <f t="shared" si="10"/>
        <v>84.870631514408331</v>
      </c>
      <c r="AT76" s="55">
        <f>BÖLCSŐDE!AT76+FALUHÁZ!AT76+ÓVODA!AT76+PMH!AT76+ÖNKORMÁNYZAT!AT76</f>
        <v>276848</v>
      </c>
      <c r="AU76" s="55">
        <f t="shared" si="11"/>
        <v>49352</v>
      </c>
      <c r="AV76" s="54">
        <f t="shared" si="12"/>
        <v>15.129368485591662</v>
      </c>
      <c r="AW76" s="55">
        <f>BÖLCSŐDE!AW76+FALUHÁZ!AW76+ÓVODA!AW76+PMH!AW76+ÖNKORMÁNYZAT!AW76</f>
        <v>215200</v>
      </c>
      <c r="AX76" s="55">
        <f>BÖLCSŐDE!AX76+FALUHÁZ!AX76+ÓVODA!AX76+PMH!AX76+ÖNKORMÁNYZAT!AX76</f>
        <v>215200</v>
      </c>
      <c r="AY76" s="55">
        <f>BÖLCSŐDE!AY76+FALUHÁZ!AY76+ÓVODA!AY76+PMH!AY76+ÖNKORMÁNYZAT!AY76</f>
        <v>215200</v>
      </c>
      <c r="AZ76" s="55">
        <f>BÖLCSŐDE!AZ76+FALUHÁZ!AZ76+ÓVODA!AZ76+PMH!AZ76+ÖNKORMÁNYZAT!AZ76</f>
        <v>215200</v>
      </c>
      <c r="BA76" s="55">
        <f>BÖLCSŐDE!BA76+FALUHÁZ!BA76+ÓVODA!BA76+PMH!BA76+ÖNKORMÁNYZAT!BA76</f>
        <v>215200</v>
      </c>
      <c r="BB76" s="501">
        <f>BÖLCSŐDE!BB76+FALUHÁZ!BB76+ÓVODA!BB76+PMH!BB76+ÖNKORMÁNYZAT!BB76</f>
        <v>215200</v>
      </c>
      <c r="BC76" s="501">
        <f>BÖLCSŐDE!BC76+FALUHÁZ!BC76+ÓVODA!BC76+PMH!BC76+ÖNKORMÁNYZAT!BC76</f>
        <v>2346714</v>
      </c>
      <c r="BD76" s="501">
        <f>BÖLCSŐDE!BD76+FALUHÁZ!BD76+ÓVODA!BD76+PMH!BD76+ÖNKORMÁNYZAT!BD76</f>
        <v>2108244</v>
      </c>
      <c r="BE76" s="501">
        <f>BÖLCSŐDE!BE76+FALUHÁZ!BE76+ÓVODA!BE76+PMH!BE76+ÖNKORMÁNYZAT!BE76</f>
        <v>2262963</v>
      </c>
      <c r="BF76" s="501">
        <f>BÖLCSŐDE!BF76+FALUHÁZ!BF76+ÓVODA!BF76+PMH!BF76+ÖNKORMÁNYZAT!BF76</f>
        <v>2258244</v>
      </c>
      <c r="BG76" s="383">
        <f>BÖLCSŐDE!BG76+FALUHÁZ!BG76+ÓVODA!BG76+PMH!BG76+ÖNKORMÁNYZAT!BG76</f>
        <v>2709892.8000000003</v>
      </c>
      <c r="BH76" s="65">
        <f>BÖLCSŐDE!BH76+FALUHÁZ!BH76+ÓVODA!BH76+PMH!BH76+ÖNKORMÁNYZAT!BH76</f>
        <v>189216</v>
      </c>
      <c r="BI76" s="65">
        <f>BÖLCSŐDE!BI76+FALUHÁZ!BI76+ÓVODA!BI76+PMH!BI76+ÖNKORMÁNYZAT!BI76</f>
        <v>289216</v>
      </c>
      <c r="BJ76" s="65">
        <f>BÖLCSŐDE!BJ76+FALUHÁZ!BJ76+ÓVODA!BJ76+PMH!BJ76+ÖNKORMÁNYZAT!BJ76</f>
        <v>253124</v>
      </c>
      <c r="BK76" s="65">
        <f>BÖLCSŐDE!BK76+FALUHÁZ!BK76+ÓVODA!BK76+PMH!BK76+ÖNKORMÁNYZAT!BK76</f>
        <v>2115612</v>
      </c>
      <c r="BL76" s="65">
        <f>BÖLCSŐDE!BL76+FALUHÁZ!BL76+ÓVODA!BL76+PMH!BL76+ÖNKORMÁNYZAT!BL76</f>
        <v>2538734.4000000004</v>
      </c>
      <c r="BM76" s="65">
        <f>BÖLCSŐDE!BM76+FALUHÁZ!BM76+ÓVODA!BM76+PMH!BM76+ÖNKORMÁNYZAT!BM76</f>
        <v>2500000</v>
      </c>
      <c r="BN76" s="65">
        <f>BÖLCSŐDE!BN76+FALUHÁZ!BN76+ÓVODA!BN76+PMH!BN76+ÖNKORMÁNYZAT!BN76</f>
        <v>2500000</v>
      </c>
      <c r="BO76" s="65">
        <f>BÖLCSŐDE!BO76+FALUHÁZ!BO76+ÓVODA!BO76+PMH!BO76+ÖNKORMÁNYZAT!BO76</f>
        <v>5394988</v>
      </c>
      <c r="BP76" s="65">
        <f>BÖLCSŐDE!BP76+FALUHÁZ!BP76+ÓVODA!BP76+PMH!BP76+ÖNKORMÁNYZAT!BP76</f>
        <v>6473985.5999999996</v>
      </c>
      <c r="BQ76" s="65">
        <f>BÖLCSŐDE!BQ76+FALUHÁZ!BQ76+ÓVODA!BQ76+PMH!BQ76+ÖNKORMÁNYZAT!BQ76</f>
        <v>7121384.1600000001</v>
      </c>
      <c r="BR76" s="65">
        <f>BÖLCSŐDE!BR76+FALUHÁZ!BR76+ÓVODA!BR76+PMH!BR76+ÖNKORMÁNYZAT!BR76</f>
        <v>7150301</v>
      </c>
      <c r="BS76" s="65">
        <f>BÖLCSŐDE!BS76+FALUHÁZ!BS76+ÓVODA!BS76+PMH!BS76+ÖNKORMÁNYZAT!BS76</f>
        <v>7150301</v>
      </c>
      <c r="BT76" s="65">
        <f>BÖLCSŐDE!BT76+FALUHÁZ!BT76+ÓVODA!BT76+PMH!BT76+ÖNKORMÁNYZAT!BT76</f>
        <v>6150301</v>
      </c>
      <c r="BU76" s="65">
        <f>BÖLCSŐDE!BU76+FALUHÁZ!BU76+ÓVODA!BU76+PMH!BU76+ÖNKORMÁNYZAT!BU76</f>
        <v>4254000</v>
      </c>
      <c r="BV76" s="65">
        <f>BÖLCSŐDE!BV76+FALUHÁZ!BV76+ÓVODA!BV76+PMH!BV76+ÖNKORMÁNYZAT!BV76</f>
        <v>4040000</v>
      </c>
    </row>
    <row r="77" spans="1:74" x14ac:dyDescent="0.25">
      <c r="A77" s="54" t="s">
        <v>54</v>
      </c>
      <c r="B77" s="58" t="s">
        <v>200</v>
      </c>
      <c r="C77" s="55">
        <f>BÖLCSŐDE!C77+FALUHÁZ!C77+ÓVODA!C77+PMH!C77+ÖNKORMÁNYZAT!C77</f>
        <v>0</v>
      </c>
      <c r="D77" s="55">
        <f>BÖLCSŐDE!D77+FALUHÁZ!D77+ÓVODA!D77+PMH!D77+ÖNKORMÁNYZAT!D77</f>
        <v>0</v>
      </c>
      <c r="E77" s="55">
        <f>BÖLCSŐDE!E77+FALUHÁZ!E77+ÓVODA!E77+PMH!E77+ÖNKORMÁNYZAT!E77</f>
        <v>0</v>
      </c>
      <c r="F77" s="55">
        <f>BÖLCSŐDE!F77+FALUHÁZ!F77+ÓVODA!F77+PMH!F77+ÖNKORMÁNYZAT!F77</f>
        <v>0</v>
      </c>
      <c r="G77" s="55">
        <f>BÖLCSŐDE!G77+FALUHÁZ!G77+ÓVODA!G77+PMH!G77+ÖNKORMÁNYZAT!G77</f>
        <v>0</v>
      </c>
      <c r="H77" s="55">
        <f>BÖLCSŐDE!H77+FALUHÁZ!H77+ÓVODA!H77+PMH!H77+ÖNKORMÁNYZAT!H77</f>
        <v>0</v>
      </c>
      <c r="I77" s="55">
        <f t="shared" si="0"/>
        <v>0</v>
      </c>
      <c r="J77" s="55">
        <v>0</v>
      </c>
      <c r="K77" s="55">
        <v>0</v>
      </c>
      <c r="L77" s="55">
        <f>BÖLCSŐDE!L77+FALUHÁZ!L77+ÓVODA!L77+PMH!L77+ÖNKORMÁNYZAT!L77</f>
        <v>0</v>
      </c>
      <c r="M77" s="1">
        <f t="shared" si="1"/>
        <v>0</v>
      </c>
      <c r="O77" s="55">
        <f>BÖLCSŐDE!O77+FALUHÁZ!N77+ÓVODA!O77+PMH!O77+ÖNKORMÁNYZAT!O77</f>
        <v>0</v>
      </c>
      <c r="P77" s="55">
        <f>BÖLCSŐDE!P77+FALUHÁZ!O77+ÓVODA!P77+PMH!P77+ÖNKORMÁNYZAT!P77</f>
        <v>0</v>
      </c>
      <c r="Q77" s="55">
        <f>BÖLCSŐDE!Q77+FALUHÁZ!P77+ÓVODA!Q77+PMH!Q77+ÖNKORMÁNYZAT!Q77</f>
        <v>0</v>
      </c>
      <c r="R77" s="55">
        <f>BÖLCSŐDE!R77+FALUHÁZ!Q77+ÓVODA!R77+PMH!R77+ÖNKORMÁNYZAT!R77</f>
        <v>0</v>
      </c>
      <c r="S77" s="55">
        <f>BÖLCSŐDE!S77+FALUHÁZ!R77+ÓVODA!S77+PMH!S77+ÖNKORMÁNYZAT!S77</f>
        <v>0</v>
      </c>
      <c r="T77" s="55">
        <f>BÖLCSŐDE!T77+FALUHÁZ!S77+ÓVODA!T77+PMH!T77+ÖNKORMÁNYZAT!T77</f>
        <v>0</v>
      </c>
      <c r="U77" s="55">
        <f>BÖLCSŐDE!U77+FALUHÁZ!T77+ÓVODA!U77+PMH!U77+ÖNKORMÁNYZAT!U77</f>
        <v>0</v>
      </c>
      <c r="V77" s="55">
        <f>BÖLCSŐDE!V77+FALUHÁZ!U77+ÓVODA!V77+PMH!V77+ÖNKORMÁNYZAT!V77</f>
        <v>0</v>
      </c>
      <c r="W77" s="55">
        <f>BÖLCSŐDE!W77+FALUHÁZ!V77+ÓVODA!W77+PMH!W77+ÖNKORMÁNYZAT!W77</f>
        <v>0</v>
      </c>
      <c r="X77" s="122"/>
      <c r="AA77" s="55">
        <f>BÖLCSŐDE!AA77+FALUHÁZ!Z77+ÓVODA!AA77+PMH!AA77+ÖNKORMÁNYZAT!AA77</f>
        <v>0</v>
      </c>
      <c r="AB77" s="55">
        <f>BÖLCSŐDE!AB77+FALUHÁZ!AA77+ÓVODA!AB77+PMH!AB77+ÖNKORMÁNYZAT!AB77</f>
        <v>0</v>
      </c>
      <c r="AC77" s="55">
        <f>BÖLCSŐDE!AB77+FALUHÁZ!AA77+ÓVODA!AB77+PMH!AB77+ÖNKORMÁNYZAT!AB77</f>
        <v>0</v>
      </c>
      <c r="AD77" s="55">
        <f>BÖLCSŐDE!AC77+FALUHÁZ!AB77+ÓVODA!AC77+PMH!AC77+ÖNKORMÁNYZAT!AC77</f>
        <v>264000</v>
      </c>
      <c r="AE77" s="223">
        <f>BÖLCSŐDE!AE77+FALUHÁZ!AD77+ÓVODA!AE77+PMH!AE77+ÖNKORMÁNYZAT!AD77</f>
        <v>264000</v>
      </c>
      <c r="AF77" s="122"/>
      <c r="AG77" s="55">
        <f>BÖLCSŐDE!AG76+FALUHÁZ!AG76+ÓVODA!AG76+PMH!AG76+ÖNKORMÁNYZAT!AG76</f>
        <v>169000</v>
      </c>
      <c r="AH77" s="55"/>
      <c r="AI77" s="55">
        <f>BÖLCSŐDE!AI77+FALUHÁZ!AJ77+ÓVODA!AI77+PMH!AI77+ÖNKORMÁNYZAT!AI77</f>
        <v>316800</v>
      </c>
      <c r="AJ77" s="55"/>
      <c r="AK77" s="55">
        <f>BÖLCSŐDE!AL77+FALUHÁZ!AK77+ÓVODA!AK77+PMH!AK77+ÖNKORMÁNYZAT!AK77</f>
        <v>316800</v>
      </c>
      <c r="AM77" s="55">
        <f>BÖLCSŐDE!AM77+FALUHÁZ!AM77+ÓVODA!AM77+PMH!AM77+ÖNKORMÁNYZAT!AM77</f>
        <v>264000</v>
      </c>
      <c r="AN77" s="55">
        <f>BÖLCSŐDE!AN77+FALUHÁZ!AN77+ÓVODA!AP77+PMH!AN77+ÖNKORMÁNYZAT!AP77</f>
        <v>316800</v>
      </c>
      <c r="AO77" s="55">
        <f>BÖLCSŐDE!AO77+FALUHÁZ!AO77+ÓVODA!AQ77+PMH!AO77+ÖNKORMÁNYZAT!AQ77</f>
        <v>174000</v>
      </c>
      <c r="AP77" s="55">
        <f>BÖLCSŐDE!AP77+FALUHÁZ!AP77+ÓVODA!AP77+PMH!AP77+ÖNKORMÁNYZAT!AP77</f>
        <v>316800</v>
      </c>
      <c r="AQ77" s="55">
        <f>BÖLCSŐDE!AQ77+FALUHÁZ!AQ77+ÓVODA!AQ77+PMH!AQ77+ÖNKORMÁNYZAT!AQ77</f>
        <v>174000</v>
      </c>
      <c r="AR77" s="55">
        <f t="shared" si="9"/>
        <v>142800</v>
      </c>
      <c r="AS77" s="54">
        <f t="shared" si="10"/>
        <v>54.924242424242422</v>
      </c>
      <c r="AT77" s="55">
        <f>BÖLCSŐDE!AT77+FALUHÁZ!AT77+ÓVODA!AT77+PMH!AT77+ÖNKORMÁNYZAT!AT77</f>
        <v>174000</v>
      </c>
      <c r="AU77" s="55">
        <f t="shared" si="11"/>
        <v>142800</v>
      </c>
      <c r="AV77" s="54">
        <f t="shared" si="12"/>
        <v>45.075757575757578</v>
      </c>
      <c r="AW77" s="55">
        <f>BÖLCSŐDE!AW77+FALUHÁZ!AW77+ÓVODA!AW77+PMH!AW77+ÖNKORMÁNYZAT!AW77</f>
        <v>316800</v>
      </c>
      <c r="AX77" s="55">
        <f>BÖLCSŐDE!AX77+FALUHÁZ!AX77+ÓVODA!AX77+PMH!AX77+ÖNKORMÁNYZAT!AX77</f>
        <v>316800</v>
      </c>
      <c r="AY77" s="55">
        <f>BÖLCSŐDE!AY77+FALUHÁZ!AY77+ÓVODA!AY77+PMH!AY77+ÖNKORMÁNYZAT!AY77</f>
        <v>316800</v>
      </c>
      <c r="AZ77" s="55">
        <f>BÖLCSŐDE!AZ77+FALUHÁZ!AZ77+ÓVODA!AZ77+PMH!AZ77+ÖNKORMÁNYZAT!AZ77</f>
        <v>316800</v>
      </c>
      <c r="BA77" s="55">
        <f>BÖLCSŐDE!BA77+FALUHÁZ!BA77+ÓVODA!BA77+PMH!BA77+ÖNKORMÁNYZAT!BA77</f>
        <v>316800</v>
      </c>
      <c r="BB77" s="501">
        <f>BÖLCSŐDE!BB77+FALUHÁZ!BB77+ÓVODA!BB77+PMH!BB77+ÖNKORMÁNYZAT!BB77</f>
        <v>316800</v>
      </c>
      <c r="BC77" s="501">
        <f>BÖLCSŐDE!BC77+FALUHÁZ!BC77+ÓVODA!BC77+PMH!BC77+ÖNKORMÁNYZAT!BC77</f>
        <v>316800</v>
      </c>
      <c r="BD77" s="501">
        <f>BÖLCSŐDE!BD77+FALUHÁZ!BD77+ÓVODA!BD77+PMH!BD77+ÖNKORMÁNYZAT!BD77</f>
        <v>0</v>
      </c>
      <c r="BE77" s="501">
        <f>BÖLCSŐDE!BE77+FALUHÁZ!BE77+ÓVODA!BE77+PMH!BE77+ÖNKORMÁNYZAT!BE77</f>
        <v>0</v>
      </c>
      <c r="BF77" s="501">
        <f>BÖLCSŐDE!BF77+FALUHÁZ!BF77+ÓVODA!BF77+PMH!BF77+ÖNKORMÁNYZAT!BF77</f>
        <v>0</v>
      </c>
      <c r="BG77" s="383">
        <f>BÖLCSŐDE!BG77+FALUHÁZ!BG77+ÓVODA!BG77+PMH!BG77+ÖNKORMÁNYZAT!BG77</f>
        <v>0</v>
      </c>
      <c r="BH77" s="65">
        <f>BÖLCSŐDE!BH77+FALUHÁZ!BH77+ÓVODA!BH77+PMH!BH77+ÖNKORMÁNYZAT!BH77</f>
        <v>342144</v>
      </c>
      <c r="BI77" s="65">
        <f>BÖLCSŐDE!BI77+FALUHÁZ!BI77+ÓVODA!BI77+PMH!BI77+ÖNKORMÁNYZAT!BI77</f>
        <v>342144</v>
      </c>
      <c r="BJ77" s="65">
        <f>BÖLCSŐDE!BJ77+FALUHÁZ!BJ77+ÓVODA!BJ77+PMH!BJ77+ÖNKORMÁNYZAT!BJ77</f>
        <v>0</v>
      </c>
      <c r="BK77" s="65">
        <f>BÖLCSŐDE!BK77+FALUHÁZ!BK77+ÓVODA!BK77+PMH!BK77+ÖNKORMÁNYZAT!BK77</f>
        <v>0</v>
      </c>
      <c r="BL77" s="65">
        <f>BÖLCSŐDE!BL77+FALUHÁZ!BL77+ÓVODA!BL77+PMH!BL77+ÖNKORMÁNYZAT!BL77</f>
        <v>0</v>
      </c>
      <c r="BM77" s="65">
        <f>BÖLCSŐDE!BM77+FALUHÁZ!BM77+ÓVODA!BM77+PMH!BM77+ÖNKORMÁNYZAT!BM77</f>
        <v>0</v>
      </c>
      <c r="BN77" s="65">
        <f>BÖLCSŐDE!BN77+FALUHÁZ!BN77+ÓVODA!BN77+PMH!BN77+ÖNKORMÁNYZAT!BN77</f>
        <v>0</v>
      </c>
      <c r="BO77" s="65">
        <f>BÖLCSŐDE!BO77+FALUHÁZ!BO77+ÓVODA!BO77+PMH!BO77+ÖNKORMÁNYZAT!BO77</f>
        <v>0</v>
      </c>
      <c r="BP77" s="65">
        <f>BÖLCSŐDE!BP77+FALUHÁZ!BP77+ÓVODA!BP77+PMH!BP77+ÖNKORMÁNYZAT!BP77</f>
        <v>0</v>
      </c>
      <c r="BQ77" s="65">
        <f>BÖLCSŐDE!BQ77+FALUHÁZ!BQ77+ÓVODA!BQ77+PMH!BQ77+ÖNKORMÁNYZAT!BQ77</f>
        <v>0</v>
      </c>
      <c r="BR77" s="65">
        <f>BÖLCSŐDE!BR77+FALUHÁZ!BR77+ÓVODA!BR77+PMH!BR77+ÖNKORMÁNYZAT!BR77</f>
        <v>0</v>
      </c>
      <c r="BS77" s="65">
        <f>BÖLCSŐDE!BS77+FALUHÁZ!BS77+ÓVODA!BS77+PMH!BS77+ÖNKORMÁNYZAT!BS77</f>
        <v>0</v>
      </c>
      <c r="BT77" s="65">
        <f>BÖLCSŐDE!BT77+FALUHÁZ!BT77+ÓVODA!BT77+PMH!BT77+ÖNKORMÁNYZAT!BT77</f>
        <v>0</v>
      </c>
      <c r="BU77" s="65">
        <f>BÖLCSŐDE!BU77+FALUHÁZ!BU77+ÓVODA!BU77+PMH!BU77+ÖNKORMÁNYZAT!BU77</f>
        <v>0</v>
      </c>
      <c r="BV77" s="65">
        <f>BÖLCSŐDE!BV77+FALUHÁZ!BV77+ÓVODA!BV77+PMH!BV77+ÖNKORMÁNYZAT!BV77</f>
        <v>0</v>
      </c>
    </row>
    <row r="78" spans="1:74" x14ac:dyDescent="0.25">
      <c r="A78" s="54" t="s">
        <v>55</v>
      </c>
      <c r="B78" s="58" t="s">
        <v>201</v>
      </c>
      <c r="C78" s="55">
        <f>BÖLCSŐDE!C78+FALUHÁZ!C78+ÓVODA!C78+PMH!C78+ÖNKORMÁNYZAT!C78</f>
        <v>0</v>
      </c>
      <c r="D78" s="55">
        <f>BÖLCSŐDE!D78+FALUHÁZ!D78+ÓVODA!D78+PMH!D78+ÖNKORMÁNYZAT!D78</f>
        <v>0</v>
      </c>
      <c r="E78" s="55">
        <f>BÖLCSŐDE!E78+FALUHÁZ!E78+ÓVODA!E78+PMH!E78+ÖNKORMÁNYZAT!E78</f>
        <v>0</v>
      </c>
      <c r="F78" s="55">
        <f>BÖLCSŐDE!F78+FALUHÁZ!F78+ÓVODA!F78+PMH!F78+ÖNKORMÁNYZAT!F78</f>
        <v>0</v>
      </c>
      <c r="G78" s="55">
        <f>BÖLCSŐDE!G78+FALUHÁZ!G78+ÓVODA!G78+PMH!G78+ÖNKORMÁNYZAT!G78</f>
        <v>0</v>
      </c>
      <c r="H78" s="55">
        <f>BÖLCSŐDE!H78+FALUHÁZ!H78+ÓVODA!H78+PMH!H78+ÖNKORMÁNYZAT!H78</f>
        <v>0</v>
      </c>
      <c r="I78" s="55">
        <f t="shared" ref="I78:I108" si="14">H78/11+H78</f>
        <v>0</v>
      </c>
      <c r="J78" s="55">
        <v>0</v>
      </c>
      <c r="K78" s="55">
        <v>0</v>
      </c>
      <c r="L78" s="55">
        <f>BÖLCSŐDE!L78+FALUHÁZ!L78+ÓVODA!L78+PMH!L78+ÖNKORMÁNYZAT!L78</f>
        <v>0</v>
      </c>
      <c r="M78" s="1">
        <f t="shared" ref="M78:M108" si="15">IF(I78&lt;&gt;0,L78/I78*100,0)</f>
        <v>0</v>
      </c>
      <c r="O78" s="55">
        <f>BÖLCSŐDE!O78+FALUHÁZ!N78+ÓVODA!O78+PMH!O78+ÖNKORMÁNYZAT!O78</f>
        <v>0</v>
      </c>
      <c r="P78" s="55">
        <f>BÖLCSŐDE!P78+FALUHÁZ!O78+ÓVODA!P78+PMH!P78+ÖNKORMÁNYZAT!P78</f>
        <v>0</v>
      </c>
      <c r="Q78" s="55">
        <f>BÖLCSŐDE!Q78+FALUHÁZ!P78+ÓVODA!Q78+PMH!Q78+ÖNKORMÁNYZAT!Q78</f>
        <v>0</v>
      </c>
      <c r="R78" s="55">
        <f>BÖLCSŐDE!R78+FALUHÁZ!Q78+ÓVODA!R78+PMH!R78+ÖNKORMÁNYZAT!R78</f>
        <v>0</v>
      </c>
      <c r="S78" s="55">
        <f>BÖLCSŐDE!S78+FALUHÁZ!R78+ÓVODA!S78+PMH!S78+ÖNKORMÁNYZAT!S78</f>
        <v>0</v>
      </c>
      <c r="T78" s="55">
        <f>BÖLCSŐDE!T78+FALUHÁZ!S78+ÓVODA!T78+PMH!T78+ÖNKORMÁNYZAT!T78</f>
        <v>0</v>
      </c>
      <c r="U78" s="55">
        <f>BÖLCSŐDE!U78+FALUHÁZ!T78+ÓVODA!U78+PMH!U78+ÖNKORMÁNYZAT!U78</f>
        <v>0</v>
      </c>
      <c r="V78" s="55">
        <f>BÖLCSŐDE!V78+FALUHÁZ!U78+ÓVODA!V78+PMH!V78+ÖNKORMÁNYZAT!V78</f>
        <v>0</v>
      </c>
      <c r="W78" s="55">
        <f>BÖLCSŐDE!W78+FALUHÁZ!V78+ÓVODA!W78+PMH!W78+ÖNKORMÁNYZAT!W78</f>
        <v>0</v>
      </c>
      <c r="X78" s="122"/>
      <c r="AA78" s="55">
        <f>BÖLCSŐDE!AA78+FALUHÁZ!Z78+ÓVODA!AA78+PMH!AA78+ÖNKORMÁNYZAT!AA78</f>
        <v>0</v>
      </c>
      <c r="AB78" s="55">
        <f>BÖLCSŐDE!AB78+FALUHÁZ!AA78+ÓVODA!AB78+PMH!AB78+ÖNKORMÁNYZAT!AB78</f>
        <v>0</v>
      </c>
      <c r="AC78" s="55">
        <f>BÖLCSŐDE!AB78+FALUHÁZ!AA78+ÓVODA!AB78+PMH!AB78+ÖNKORMÁNYZAT!AB78</f>
        <v>0</v>
      </c>
      <c r="AD78" s="55">
        <f>BÖLCSŐDE!AC78+FALUHÁZ!AB78+ÓVODA!AC78+PMH!AC78+ÖNKORMÁNYZAT!AC78</f>
        <v>0</v>
      </c>
      <c r="AE78" s="223">
        <f>BÖLCSŐDE!AE78+FALUHÁZ!AD78+ÓVODA!AE78+PMH!AE78+ÖNKORMÁNYZAT!AD78</f>
        <v>0</v>
      </c>
      <c r="AF78" s="122"/>
      <c r="AG78" s="55">
        <f>BÖLCSŐDE!AG77+FALUHÁZ!AG77+ÓVODA!AG77+PMH!AG77+ÖNKORMÁNYZAT!AG77</f>
        <v>264000</v>
      </c>
      <c r="AH78" s="55"/>
      <c r="AI78" s="55">
        <f>BÖLCSŐDE!AI78+FALUHÁZ!AJ78+ÓVODA!AI78+PMH!AI78+ÖNKORMÁNYZAT!AI78</f>
        <v>0</v>
      </c>
      <c r="AJ78" s="55"/>
      <c r="AK78" s="55">
        <f>BÖLCSŐDE!AL78+FALUHÁZ!AK78+ÓVODA!AK78+PMH!AK78+ÖNKORMÁNYZAT!AK78</f>
        <v>0</v>
      </c>
      <c r="AM78" s="55">
        <f>BÖLCSŐDE!AM78+FALUHÁZ!AM78+ÓVODA!AM78+PMH!AM78+ÖNKORMÁNYZAT!AM78</f>
        <v>0</v>
      </c>
      <c r="AN78" s="55">
        <f>BÖLCSŐDE!AN78+FALUHÁZ!AN78+ÓVODA!AP78+PMH!AN78+ÖNKORMÁNYZAT!AP78</f>
        <v>0</v>
      </c>
      <c r="AO78" s="55">
        <f>BÖLCSŐDE!AO78+FALUHÁZ!AO78+ÓVODA!AQ78+PMH!AO78+ÖNKORMÁNYZAT!AQ78</f>
        <v>0</v>
      </c>
      <c r="AP78" s="55">
        <f>BÖLCSŐDE!AP78+FALUHÁZ!AP78+ÓVODA!AP78+PMH!AP78+ÖNKORMÁNYZAT!AP78</f>
        <v>0</v>
      </c>
      <c r="AQ78" s="55">
        <f>BÖLCSŐDE!AQ78+FALUHÁZ!AQ78+ÓVODA!AQ78+PMH!AQ78+ÖNKORMÁNYZAT!AQ78</f>
        <v>0</v>
      </c>
      <c r="AR78" s="55">
        <f t="shared" si="9"/>
        <v>0</v>
      </c>
      <c r="AS78" s="54"/>
      <c r="AT78" s="55">
        <f>BÖLCSŐDE!AT78+FALUHÁZ!AT78+ÓVODA!AT78+PMH!AT78+ÖNKORMÁNYZAT!AT78</f>
        <v>0</v>
      </c>
      <c r="AU78" s="55"/>
      <c r="AV78" s="54"/>
      <c r="AW78" s="55">
        <f>BÖLCSŐDE!AW78+FALUHÁZ!AW78+ÓVODA!AW78+PMH!AW78+ÖNKORMÁNYZAT!AW78</f>
        <v>0</v>
      </c>
      <c r="AX78" s="55">
        <f>BÖLCSŐDE!AX78+FALUHÁZ!AX78+ÓVODA!AX78+PMH!AX78+ÖNKORMÁNYZAT!AX78</f>
        <v>0</v>
      </c>
      <c r="AY78" s="55">
        <f>BÖLCSŐDE!AY78+FALUHÁZ!AY78+ÓVODA!AY78+PMH!AY78+ÖNKORMÁNYZAT!AY78</f>
        <v>0</v>
      </c>
      <c r="AZ78" s="55">
        <f>BÖLCSŐDE!AZ78+FALUHÁZ!AZ78+ÓVODA!AZ78+PMH!AZ78+ÖNKORMÁNYZAT!AZ78</f>
        <v>0</v>
      </c>
      <c r="BA78" s="55">
        <f>BÖLCSŐDE!BA78+FALUHÁZ!BA78+ÓVODA!BA78+PMH!BA78+ÖNKORMÁNYZAT!BA78</f>
        <v>0</v>
      </c>
      <c r="BB78" s="501">
        <f>BÖLCSŐDE!BB78+FALUHÁZ!BB78+ÓVODA!BB78+PMH!BB78+ÖNKORMÁNYZAT!BB78</f>
        <v>0</v>
      </c>
      <c r="BC78" s="501">
        <f>BÖLCSŐDE!BC78+FALUHÁZ!BC78+ÓVODA!BC78+PMH!BC78+ÖNKORMÁNYZAT!BC78</f>
        <v>0</v>
      </c>
      <c r="BD78" s="501">
        <f>BÖLCSŐDE!BD78+FALUHÁZ!BD78+ÓVODA!BD78+PMH!BD78+ÖNKORMÁNYZAT!BD78</f>
        <v>0</v>
      </c>
      <c r="BE78" s="501">
        <f>BÖLCSŐDE!BE78+FALUHÁZ!BE78+ÓVODA!BE78+PMH!BE78+ÖNKORMÁNYZAT!BE78</f>
        <v>0</v>
      </c>
      <c r="BF78" s="501">
        <f>BÖLCSŐDE!BF78+FALUHÁZ!BF78+ÓVODA!BF78+PMH!BF78+ÖNKORMÁNYZAT!BF78</f>
        <v>0</v>
      </c>
      <c r="BG78" s="383">
        <f>BÖLCSŐDE!BG78+FALUHÁZ!BG78+ÓVODA!BG78+PMH!BG78+ÖNKORMÁNYZAT!BG78</f>
        <v>0</v>
      </c>
      <c r="BH78" s="65">
        <f>BÖLCSŐDE!BH78+FALUHÁZ!BH78+ÓVODA!BH78+PMH!BH78+ÖNKORMÁNYZAT!BH78</f>
        <v>0</v>
      </c>
      <c r="BI78" s="65">
        <f>BÖLCSŐDE!BI78+FALUHÁZ!BI78+ÓVODA!BI78+PMH!BI78+ÖNKORMÁNYZAT!BI78</f>
        <v>0</v>
      </c>
      <c r="BJ78" s="65">
        <f>BÖLCSŐDE!BJ78+FALUHÁZ!BJ78+ÓVODA!BJ78+PMH!BJ78+ÖNKORMÁNYZAT!BJ78</f>
        <v>0</v>
      </c>
      <c r="BK78" s="65">
        <f>BÖLCSŐDE!BK78+FALUHÁZ!BK78+ÓVODA!BK78+PMH!BK78+ÖNKORMÁNYZAT!BK78</f>
        <v>0</v>
      </c>
      <c r="BL78" s="65">
        <f>BÖLCSŐDE!BL78+FALUHÁZ!BL78+ÓVODA!BL78+PMH!BL78+ÖNKORMÁNYZAT!BL78</f>
        <v>0</v>
      </c>
      <c r="BM78" s="65">
        <f>BÖLCSŐDE!BM78+FALUHÁZ!BM78+ÓVODA!BM78+PMH!BM78+ÖNKORMÁNYZAT!BM78</f>
        <v>0</v>
      </c>
      <c r="BN78" s="65">
        <f>BÖLCSŐDE!BN78+FALUHÁZ!BN78+ÓVODA!BN78+PMH!BN78+ÖNKORMÁNYZAT!BN78</f>
        <v>0</v>
      </c>
      <c r="BO78" s="65">
        <f>BÖLCSŐDE!BO78+FALUHÁZ!BO78+ÓVODA!BO78+PMH!BO78+ÖNKORMÁNYZAT!BO78</f>
        <v>0</v>
      </c>
      <c r="BP78" s="65">
        <f>BÖLCSŐDE!BP78+FALUHÁZ!BP78+ÓVODA!BP78+PMH!BP78+ÖNKORMÁNYZAT!BP78</f>
        <v>0</v>
      </c>
      <c r="BQ78" s="65">
        <f>BÖLCSŐDE!BQ78+FALUHÁZ!BQ78+ÓVODA!BQ78+PMH!BQ78+ÖNKORMÁNYZAT!BQ78</f>
        <v>0</v>
      </c>
      <c r="BR78" s="65">
        <f>BÖLCSŐDE!BR78+FALUHÁZ!BR78+ÓVODA!BR78+PMH!BR78+ÖNKORMÁNYZAT!BR78</f>
        <v>0</v>
      </c>
      <c r="BS78" s="65">
        <f>BÖLCSŐDE!BS78+FALUHÁZ!BS78+ÓVODA!BS78+PMH!BS78+ÖNKORMÁNYZAT!BS78</f>
        <v>0</v>
      </c>
      <c r="BT78" s="65">
        <f>BÖLCSŐDE!BT78+FALUHÁZ!BT78+ÓVODA!BT78+PMH!BT78+ÖNKORMÁNYZAT!BT78</f>
        <v>0</v>
      </c>
      <c r="BU78" s="65">
        <f>BÖLCSŐDE!BU78+FALUHÁZ!BU78+ÓVODA!BU78+PMH!BU78+ÖNKORMÁNYZAT!BU78</f>
        <v>0</v>
      </c>
      <c r="BV78" s="65">
        <f>BÖLCSŐDE!BV78+FALUHÁZ!BV78+ÓVODA!BV78+PMH!BV78+ÖNKORMÁNYZAT!BV78</f>
        <v>0</v>
      </c>
    </row>
    <row r="79" spans="1:74" x14ac:dyDescent="0.25">
      <c r="A79" s="54" t="s">
        <v>56</v>
      </c>
      <c r="B79" s="58" t="s">
        <v>202</v>
      </c>
      <c r="C79" s="55">
        <f>BÖLCSŐDE!C79+FALUHÁZ!C79+ÓVODA!C79+PMH!C79+ÖNKORMÁNYZAT!C79</f>
        <v>0</v>
      </c>
      <c r="D79" s="55">
        <f>BÖLCSŐDE!D79+FALUHÁZ!D79+ÓVODA!D79+PMH!D79+ÖNKORMÁNYZAT!D79</f>
        <v>0</v>
      </c>
      <c r="E79" s="55">
        <f>BÖLCSŐDE!E79+FALUHÁZ!E79+ÓVODA!E79+PMH!E79+ÖNKORMÁNYZAT!E79</f>
        <v>0</v>
      </c>
      <c r="F79" s="55">
        <f>BÖLCSŐDE!F79+FALUHÁZ!F79+ÓVODA!F79+PMH!F79+ÖNKORMÁNYZAT!F79</f>
        <v>0</v>
      </c>
      <c r="G79" s="55">
        <f>BÖLCSŐDE!G79+FALUHÁZ!G79+ÓVODA!G79+PMH!G79+ÖNKORMÁNYZAT!G79</f>
        <v>0</v>
      </c>
      <c r="H79" s="55">
        <f>BÖLCSŐDE!H79+FALUHÁZ!H79+ÓVODA!H79+PMH!H79+ÖNKORMÁNYZAT!H79</f>
        <v>0</v>
      </c>
      <c r="I79" s="55">
        <f t="shared" si="14"/>
        <v>0</v>
      </c>
      <c r="J79" s="55">
        <v>0</v>
      </c>
      <c r="K79" s="55">
        <v>0</v>
      </c>
      <c r="L79" s="55">
        <f>BÖLCSŐDE!L79+FALUHÁZ!L79+ÓVODA!L79+PMH!L79+ÖNKORMÁNYZAT!L79</f>
        <v>0</v>
      </c>
      <c r="M79" s="1">
        <f t="shared" si="15"/>
        <v>0</v>
      </c>
      <c r="O79" s="55">
        <f>BÖLCSŐDE!O79+FALUHÁZ!N79+ÓVODA!O79+PMH!O79+ÖNKORMÁNYZAT!O79</f>
        <v>0</v>
      </c>
      <c r="P79" s="55">
        <f>BÖLCSŐDE!P79+FALUHÁZ!O79+ÓVODA!P79+PMH!P79+ÖNKORMÁNYZAT!P79</f>
        <v>0</v>
      </c>
      <c r="Q79" s="55">
        <f>BÖLCSŐDE!Q79+FALUHÁZ!P79+ÓVODA!Q79+PMH!Q79+ÖNKORMÁNYZAT!Q79</f>
        <v>0</v>
      </c>
      <c r="R79" s="55">
        <f>BÖLCSŐDE!R79+FALUHÁZ!Q79+ÓVODA!R79+PMH!R79+ÖNKORMÁNYZAT!R79</f>
        <v>0</v>
      </c>
      <c r="S79" s="55">
        <f>BÖLCSŐDE!S79+FALUHÁZ!R79+ÓVODA!S79+PMH!S79+ÖNKORMÁNYZAT!S79</f>
        <v>0</v>
      </c>
      <c r="T79" s="55">
        <f>BÖLCSŐDE!T79+FALUHÁZ!S79+ÓVODA!T79+PMH!T79+ÖNKORMÁNYZAT!T79</f>
        <v>0</v>
      </c>
      <c r="U79" s="55">
        <f>BÖLCSŐDE!U79+FALUHÁZ!T79+ÓVODA!U79+PMH!U79+ÖNKORMÁNYZAT!U79</f>
        <v>0</v>
      </c>
      <c r="V79" s="55">
        <f>BÖLCSŐDE!V79+FALUHÁZ!U79+ÓVODA!V79+PMH!V79+ÖNKORMÁNYZAT!V79</f>
        <v>0</v>
      </c>
      <c r="W79" s="55">
        <f>BÖLCSŐDE!W79+FALUHÁZ!V79+ÓVODA!W79+PMH!W79+ÖNKORMÁNYZAT!W79</f>
        <v>0</v>
      </c>
      <c r="X79" s="122"/>
      <c r="AA79" s="55">
        <f>BÖLCSŐDE!AA79+FALUHÁZ!Z79+ÓVODA!AA79+PMH!AA79+ÖNKORMÁNYZAT!AA79</f>
        <v>0</v>
      </c>
      <c r="AB79" s="55">
        <f>BÖLCSŐDE!AB79+FALUHÁZ!AA79+ÓVODA!AB79+PMH!AB79+ÖNKORMÁNYZAT!AB79</f>
        <v>0</v>
      </c>
      <c r="AC79" s="55">
        <f>BÖLCSŐDE!AB79+FALUHÁZ!AA79+ÓVODA!AB79+PMH!AB79+ÖNKORMÁNYZAT!AB79</f>
        <v>0</v>
      </c>
      <c r="AD79" s="55">
        <f>BÖLCSŐDE!AC79+FALUHÁZ!AB79+ÓVODA!AC79+PMH!AC79+ÖNKORMÁNYZAT!AC79</f>
        <v>0</v>
      </c>
      <c r="AE79" s="223">
        <f>BÖLCSŐDE!AE79+FALUHÁZ!AD79+ÓVODA!AE79+PMH!AE79+ÖNKORMÁNYZAT!AD79</f>
        <v>0</v>
      </c>
      <c r="AF79" s="122"/>
      <c r="AG79" s="55">
        <f>BÖLCSŐDE!AG78+FALUHÁZ!AG78+ÓVODA!AG78+PMH!AG78+ÖNKORMÁNYZAT!AG78</f>
        <v>0</v>
      </c>
      <c r="AH79" s="55"/>
      <c r="AI79" s="55">
        <f>BÖLCSŐDE!AI79+FALUHÁZ!AJ79+ÓVODA!AI79+PMH!AI79+ÖNKORMÁNYZAT!AI79</f>
        <v>0</v>
      </c>
      <c r="AJ79" s="55"/>
      <c r="AK79" s="55">
        <f>BÖLCSŐDE!AL79+FALUHÁZ!AK79+ÓVODA!AK79+PMH!AK79+ÖNKORMÁNYZAT!AK79</f>
        <v>0</v>
      </c>
      <c r="AM79" s="55">
        <f>BÖLCSŐDE!AM79+FALUHÁZ!AM79+ÓVODA!AM79+PMH!AM79+ÖNKORMÁNYZAT!AM79</f>
        <v>0</v>
      </c>
      <c r="AN79" s="55">
        <f>BÖLCSŐDE!AN79+FALUHÁZ!AN79+ÓVODA!AP79+PMH!AN79+ÖNKORMÁNYZAT!AP79</f>
        <v>0</v>
      </c>
      <c r="AO79" s="55">
        <f>BÖLCSŐDE!AO79+FALUHÁZ!AO79+ÓVODA!AQ79+PMH!AO79+ÖNKORMÁNYZAT!AQ79</f>
        <v>0</v>
      </c>
      <c r="AP79" s="55">
        <f>BÖLCSŐDE!AP79+FALUHÁZ!AP79+ÓVODA!AP79+PMH!AP79+ÖNKORMÁNYZAT!AP79</f>
        <v>0</v>
      </c>
      <c r="AQ79" s="55">
        <f>BÖLCSŐDE!AQ79+FALUHÁZ!AQ79+ÓVODA!AQ79+PMH!AQ79+ÖNKORMÁNYZAT!AQ79</f>
        <v>0</v>
      </c>
      <c r="AR79" s="55">
        <f t="shared" si="9"/>
        <v>0</v>
      </c>
      <c r="AS79" s="54"/>
      <c r="AT79" s="55">
        <f>BÖLCSŐDE!AT79+FALUHÁZ!AT79+ÓVODA!AT79+PMH!AT79+ÖNKORMÁNYZAT!AT79</f>
        <v>0</v>
      </c>
      <c r="AU79" s="55"/>
      <c r="AV79" s="54"/>
      <c r="AW79" s="55">
        <f>BÖLCSŐDE!AW79+FALUHÁZ!AW79+ÓVODA!AW79+PMH!AW79+ÖNKORMÁNYZAT!AW79</f>
        <v>0</v>
      </c>
      <c r="AX79" s="55">
        <f>BÖLCSŐDE!AX79+FALUHÁZ!AX79+ÓVODA!AX79+PMH!AX79+ÖNKORMÁNYZAT!AX79</f>
        <v>0</v>
      </c>
      <c r="AY79" s="55">
        <f>BÖLCSŐDE!AY79+FALUHÁZ!AY79+ÓVODA!AY79+PMH!AY79+ÖNKORMÁNYZAT!AY79</f>
        <v>0</v>
      </c>
      <c r="AZ79" s="55">
        <f>BÖLCSŐDE!AZ79+FALUHÁZ!AZ79+ÓVODA!AZ79+PMH!AZ79+ÖNKORMÁNYZAT!AZ79</f>
        <v>0</v>
      </c>
      <c r="BA79" s="55">
        <f>BÖLCSŐDE!BA79+FALUHÁZ!BA79+ÓVODA!BA79+PMH!BA79+ÖNKORMÁNYZAT!BA79</f>
        <v>0</v>
      </c>
      <c r="BB79" s="501">
        <f>BÖLCSŐDE!BB79+FALUHÁZ!BB79+ÓVODA!BB79+PMH!BB79+ÖNKORMÁNYZAT!BB79</f>
        <v>0</v>
      </c>
      <c r="BC79" s="501">
        <f>BÖLCSŐDE!BC79+FALUHÁZ!BC79+ÓVODA!BC79+PMH!BC79+ÖNKORMÁNYZAT!BC79</f>
        <v>0</v>
      </c>
      <c r="BD79" s="501">
        <f>BÖLCSŐDE!BD79+FALUHÁZ!BD79+ÓVODA!BD79+PMH!BD79+ÖNKORMÁNYZAT!BD79</f>
        <v>0</v>
      </c>
      <c r="BE79" s="501">
        <f>BÖLCSŐDE!BE79+FALUHÁZ!BE79+ÓVODA!BE79+PMH!BE79+ÖNKORMÁNYZAT!BE79</f>
        <v>0</v>
      </c>
      <c r="BF79" s="501">
        <f>BÖLCSŐDE!BF79+FALUHÁZ!BF79+ÓVODA!BF79+PMH!BF79+ÖNKORMÁNYZAT!BF79</f>
        <v>0</v>
      </c>
      <c r="BG79" s="383">
        <f>BÖLCSŐDE!BG79+FALUHÁZ!BG79+ÓVODA!BG79+PMH!BG79+ÖNKORMÁNYZAT!BG79</f>
        <v>0</v>
      </c>
      <c r="BH79" s="65">
        <f>BÖLCSŐDE!BH79+FALUHÁZ!BH79+ÓVODA!BH79+PMH!BH79+ÖNKORMÁNYZAT!BH79</f>
        <v>0</v>
      </c>
      <c r="BI79" s="65">
        <f>BÖLCSŐDE!BI79+FALUHÁZ!BI79+ÓVODA!BI79+PMH!BI79+ÖNKORMÁNYZAT!BI79</f>
        <v>0</v>
      </c>
      <c r="BJ79" s="65">
        <f>BÖLCSŐDE!BJ79+FALUHÁZ!BJ79+ÓVODA!BJ79+PMH!BJ79+ÖNKORMÁNYZAT!BJ79</f>
        <v>0</v>
      </c>
      <c r="BK79" s="65">
        <f>BÖLCSŐDE!BK79+FALUHÁZ!BK79+ÓVODA!BK79+PMH!BK79+ÖNKORMÁNYZAT!BK79</f>
        <v>0</v>
      </c>
      <c r="BL79" s="65">
        <f>BÖLCSŐDE!BL79+FALUHÁZ!BL79+ÓVODA!BL79+PMH!BL79+ÖNKORMÁNYZAT!BL79</f>
        <v>0</v>
      </c>
      <c r="BM79" s="65">
        <f>BÖLCSŐDE!BM79+FALUHÁZ!BM79+ÓVODA!BM79+PMH!BM79+ÖNKORMÁNYZAT!BM79</f>
        <v>0</v>
      </c>
      <c r="BN79" s="65">
        <f>BÖLCSŐDE!BN79+FALUHÁZ!BN79+ÓVODA!BN79+PMH!BN79+ÖNKORMÁNYZAT!BN79</f>
        <v>0</v>
      </c>
      <c r="BO79" s="65">
        <f>BÖLCSŐDE!BO79+FALUHÁZ!BO79+ÓVODA!BO79+PMH!BO79+ÖNKORMÁNYZAT!BO79</f>
        <v>0</v>
      </c>
      <c r="BP79" s="65">
        <f>BÖLCSŐDE!BP79+FALUHÁZ!BP79+ÓVODA!BP79+PMH!BP79+ÖNKORMÁNYZAT!BP79</f>
        <v>0</v>
      </c>
      <c r="BQ79" s="65">
        <f>BÖLCSŐDE!BQ79+FALUHÁZ!BQ79+ÓVODA!BQ79+PMH!BQ79+ÖNKORMÁNYZAT!BQ79</f>
        <v>0</v>
      </c>
      <c r="BR79" s="65">
        <f>BÖLCSŐDE!BR79+FALUHÁZ!BR79+ÓVODA!BR79+PMH!BR79+ÖNKORMÁNYZAT!BR79</f>
        <v>0</v>
      </c>
      <c r="BS79" s="65">
        <f>BÖLCSŐDE!BS79+FALUHÁZ!BS79+ÓVODA!BS79+PMH!BS79+ÖNKORMÁNYZAT!BS79</f>
        <v>0</v>
      </c>
      <c r="BT79" s="65">
        <f>BÖLCSŐDE!BT79+FALUHÁZ!BT79+ÓVODA!BT79+PMH!BT79+ÖNKORMÁNYZAT!BT79</f>
        <v>0</v>
      </c>
      <c r="BU79" s="65">
        <f>BÖLCSŐDE!BU79+FALUHÁZ!BU79+ÓVODA!BU79+PMH!BU79+ÖNKORMÁNYZAT!BU79</f>
        <v>0</v>
      </c>
      <c r="BV79" s="65">
        <f>BÖLCSŐDE!BV79+FALUHÁZ!BV79+ÓVODA!BV79+PMH!BV79+ÖNKORMÁNYZAT!BV79</f>
        <v>0</v>
      </c>
    </row>
    <row r="80" spans="1:74" x14ac:dyDescent="0.25">
      <c r="A80" s="54" t="s">
        <v>57</v>
      </c>
      <c r="B80" s="58" t="s">
        <v>203</v>
      </c>
      <c r="C80" s="55">
        <f>BÖLCSŐDE!C80+FALUHÁZ!C80+ÓVODA!C80+PMH!C80+ÖNKORMÁNYZAT!C80</f>
        <v>0</v>
      </c>
      <c r="D80" s="55">
        <f>BÖLCSŐDE!D80+FALUHÁZ!D80+ÓVODA!D80+PMH!D80+ÖNKORMÁNYZAT!D80</f>
        <v>0</v>
      </c>
      <c r="E80" s="55">
        <f>BÖLCSŐDE!E80+FALUHÁZ!E80+ÓVODA!E80+PMH!E80+ÖNKORMÁNYZAT!E80</f>
        <v>0</v>
      </c>
      <c r="F80" s="55">
        <f>BÖLCSŐDE!F80+FALUHÁZ!F80+ÓVODA!F80+PMH!F80+ÖNKORMÁNYZAT!F80</f>
        <v>0</v>
      </c>
      <c r="G80" s="55">
        <f>BÖLCSŐDE!G80+FALUHÁZ!G80+ÓVODA!G80+PMH!G80+ÖNKORMÁNYZAT!G80</f>
        <v>0</v>
      </c>
      <c r="H80" s="55">
        <f>BÖLCSŐDE!H80+FALUHÁZ!H80+ÓVODA!H80+PMH!H80+ÖNKORMÁNYZAT!H80</f>
        <v>0</v>
      </c>
      <c r="I80" s="55">
        <f t="shared" si="14"/>
        <v>0</v>
      </c>
      <c r="J80" s="55">
        <v>0</v>
      </c>
      <c r="K80" s="55">
        <v>0</v>
      </c>
      <c r="L80" s="55">
        <f>BÖLCSŐDE!L80+FALUHÁZ!L80+ÓVODA!L80+PMH!L80+ÖNKORMÁNYZAT!L80</f>
        <v>0</v>
      </c>
      <c r="M80" s="1">
        <f t="shared" si="15"/>
        <v>0</v>
      </c>
      <c r="O80" s="55">
        <f>BÖLCSŐDE!O80+FALUHÁZ!N80+ÓVODA!O80+PMH!O80+ÖNKORMÁNYZAT!O80</f>
        <v>0</v>
      </c>
      <c r="P80" s="55">
        <f>BÖLCSŐDE!P80+FALUHÁZ!O80+ÓVODA!P80+PMH!P80+ÖNKORMÁNYZAT!P80</f>
        <v>0</v>
      </c>
      <c r="Q80" s="55">
        <f>BÖLCSŐDE!Q80+FALUHÁZ!P80+ÓVODA!Q80+PMH!Q80+ÖNKORMÁNYZAT!Q80</f>
        <v>0</v>
      </c>
      <c r="R80" s="55">
        <f>BÖLCSŐDE!R80+FALUHÁZ!Q80+ÓVODA!R80+PMH!R80+ÖNKORMÁNYZAT!R80</f>
        <v>0</v>
      </c>
      <c r="S80" s="55">
        <f>BÖLCSŐDE!S80+FALUHÁZ!R80+ÓVODA!S80+PMH!S80+ÖNKORMÁNYZAT!S80</f>
        <v>0</v>
      </c>
      <c r="T80" s="55">
        <f>BÖLCSŐDE!T80+FALUHÁZ!S80+ÓVODA!T80+PMH!T80+ÖNKORMÁNYZAT!T80</f>
        <v>0</v>
      </c>
      <c r="U80" s="55">
        <f>BÖLCSŐDE!U80+FALUHÁZ!T80+ÓVODA!U80+PMH!U80+ÖNKORMÁNYZAT!U80</f>
        <v>0</v>
      </c>
      <c r="V80" s="55">
        <f>BÖLCSŐDE!V80+FALUHÁZ!U80+ÓVODA!V80+PMH!V80+ÖNKORMÁNYZAT!V80</f>
        <v>0</v>
      </c>
      <c r="W80" s="55">
        <f>BÖLCSŐDE!W80+FALUHÁZ!V80+ÓVODA!W80+PMH!W80+ÖNKORMÁNYZAT!W80</f>
        <v>0</v>
      </c>
      <c r="X80" s="122"/>
      <c r="AA80" s="55">
        <f>BÖLCSŐDE!AA80+FALUHÁZ!Z80+ÓVODA!AA80+PMH!AA80+ÖNKORMÁNYZAT!AA80</f>
        <v>0</v>
      </c>
      <c r="AB80" s="55">
        <f>BÖLCSŐDE!AB80+FALUHÁZ!AA80+ÓVODA!AB80+PMH!AB80+ÖNKORMÁNYZAT!AB80</f>
        <v>0</v>
      </c>
      <c r="AC80" s="55">
        <f>BÖLCSŐDE!AB80+FALUHÁZ!AA80+ÓVODA!AB80+PMH!AB80+ÖNKORMÁNYZAT!AB80</f>
        <v>0</v>
      </c>
      <c r="AD80" s="55">
        <f>BÖLCSŐDE!AC80+FALUHÁZ!AB80+ÓVODA!AC80+PMH!AC80+ÖNKORMÁNYZAT!AC80</f>
        <v>0</v>
      </c>
      <c r="AE80" s="223">
        <f>BÖLCSŐDE!AE80+FALUHÁZ!AD80+ÓVODA!AE80+PMH!AE80+ÖNKORMÁNYZAT!AD80</f>
        <v>0</v>
      </c>
      <c r="AF80" s="122"/>
      <c r="AG80" s="55">
        <f>BÖLCSŐDE!AG79+FALUHÁZ!AG79+ÓVODA!AG79+PMH!AG79+ÖNKORMÁNYZAT!AG79</f>
        <v>0</v>
      </c>
      <c r="AH80" s="55"/>
      <c r="AI80" s="55">
        <f>BÖLCSŐDE!AI80+FALUHÁZ!AJ80+ÓVODA!AI80+PMH!AI80+ÖNKORMÁNYZAT!AI80</f>
        <v>0</v>
      </c>
      <c r="AJ80" s="55"/>
      <c r="AK80" s="55">
        <f>BÖLCSŐDE!AL80+FALUHÁZ!AK80+ÓVODA!AK80+PMH!AK80+ÖNKORMÁNYZAT!AK80</f>
        <v>0</v>
      </c>
      <c r="AM80" s="55">
        <f>BÖLCSŐDE!AM80+FALUHÁZ!AM80+ÓVODA!AM80+PMH!AM80+ÖNKORMÁNYZAT!AM80</f>
        <v>0</v>
      </c>
      <c r="AN80" s="55">
        <f>BÖLCSŐDE!AN80+FALUHÁZ!AN80+ÓVODA!AP80+PMH!AN80+ÖNKORMÁNYZAT!AP80</f>
        <v>0</v>
      </c>
      <c r="AO80" s="55">
        <f>BÖLCSŐDE!AO80+FALUHÁZ!AO80+ÓVODA!AQ80+PMH!AO80+ÖNKORMÁNYZAT!AQ80</f>
        <v>0</v>
      </c>
      <c r="AP80" s="55">
        <f>BÖLCSŐDE!AP80+FALUHÁZ!AP80+ÓVODA!AP80+PMH!AP80+ÖNKORMÁNYZAT!AP80</f>
        <v>0</v>
      </c>
      <c r="AQ80" s="55">
        <f>BÖLCSŐDE!AQ80+FALUHÁZ!AQ80+ÓVODA!AQ80+PMH!AQ80+ÖNKORMÁNYZAT!AQ80</f>
        <v>0</v>
      </c>
      <c r="AR80" s="55">
        <f t="shared" si="9"/>
        <v>0</v>
      </c>
      <c r="AS80" s="54"/>
      <c r="AT80" s="55">
        <f>BÖLCSŐDE!AT80+FALUHÁZ!AT80+ÓVODA!AT80+PMH!AT80+ÖNKORMÁNYZAT!AT80</f>
        <v>0</v>
      </c>
      <c r="AU80" s="55"/>
      <c r="AV80" s="54"/>
      <c r="AW80" s="55">
        <f>BÖLCSŐDE!AW80+FALUHÁZ!AW80+ÓVODA!AW80+PMH!AW80+ÖNKORMÁNYZAT!AW80</f>
        <v>0</v>
      </c>
      <c r="AX80" s="55">
        <f>BÖLCSŐDE!AX80+FALUHÁZ!AX80+ÓVODA!AX80+PMH!AX80+ÖNKORMÁNYZAT!AX80</f>
        <v>0</v>
      </c>
      <c r="AY80" s="55">
        <f>BÖLCSŐDE!AY80+FALUHÁZ!AY80+ÓVODA!AY80+PMH!AY80+ÖNKORMÁNYZAT!AY80</f>
        <v>0</v>
      </c>
      <c r="AZ80" s="55">
        <f>BÖLCSŐDE!AZ80+FALUHÁZ!AZ80+ÓVODA!AZ80+PMH!AZ80+ÖNKORMÁNYZAT!AZ80</f>
        <v>0</v>
      </c>
      <c r="BA80" s="55">
        <f>BÖLCSŐDE!BA80+FALUHÁZ!BA80+ÓVODA!BA80+PMH!BA80+ÖNKORMÁNYZAT!BA80</f>
        <v>0</v>
      </c>
      <c r="BB80" s="501">
        <f>BÖLCSŐDE!BB80+FALUHÁZ!BB80+ÓVODA!BB80+PMH!BB80+ÖNKORMÁNYZAT!BB80</f>
        <v>0</v>
      </c>
      <c r="BC80" s="501">
        <f>BÖLCSŐDE!BC80+FALUHÁZ!BC80+ÓVODA!BC80+PMH!BC80+ÖNKORMÁNYZAT!BC80</f>
        <v>0</v>
      </c>
      <c r="BD80" s="501">
        <f>BÖLCSŐDE!BD80+FALUHÁZ!BD80+ÓVODA!BD80+PMH!BD80+ÖNKORMÁNYZAT!BD80</f>
        <v>0</v>
      </c>
      <c r="BE80" s="501">
        <f>BÖLCSŐDE!BE80+FALUHÁZ!BE80+ÓVODA!BE80+PMH!BE80+ÖNKORMÁNYZAT!BE80</f>
        <v>0</v>
      </c>
      <c r="BF80" s="501">
        <f>BÖLCSŐDE!BF80+FALUHÁZ!BF80+ÓVODA!BF80+PMH!BF80+ÖNKORMÁNYZAT!BF80</f>
        <v>0</v>
      </c>
      <c r="BG80" s="383">
        <f>BÖLCSŐDE!BG80+FALUHÁZ!BG80+ÓVODA!BG80+PMH!BG80+ÖNKORMÁNYZAT!BG80</f>
        <v>0</v>
      </c>
      <c r="BH80" s="65">
        <f>BÖLCSŐDE!BH80+FALUHÁZ!BH80+ÓVODA!BH80+PMH!BH80+ÖNKORMÁNYZAT!BH80</f>
        <v>0</v>
      </c>
      <c r="BI80" s="65">
        <f>BÖLCSŐDE!BI80+FALUHÁZ!BI80+ÓVODA!BI80+PMH!BI80+ÖNKORMÁNYZAT!BI80</f>
        <v>0</v>
      </c>
      <c r="BJ80" s="65">
        <f>BÖLCSŐDE!BJ80+FALUHÁZ!BJ80+ÓVODA!BJ80+PMH!BJ80+ÖNKORMÁNYZAT!BJ80</f>
        <v>0</v>
      </c>
      <c r="BK80" s="65">
        <f>BÖLCSŐDE!BK80+FALUHÁZ!BK80+ÓVODA!BK80+PMH!BK80+ÖNKORMÁNYZAT!BK80</f>
        <v>0</v>
      </c>
      <c r="BL80" s="65">
        <f>BÖLCSŐDE!BL80+FALUHÁZ!BL80+ÓVODA!BL80+PMH!BL80+ÖNKORMÁNYZAT!BL80</f>
        <v>0</v>
      </c>
      <c r="BM80" s="222">
        <f>BÖLCSŐDE!BM80+FALUHÁZ!BM80+ÓVODA!BM80+PMH!BM80+ÖNKORMÁNYZAT!BM80</f>
        <v>0</v>
      </c>
      <c r="BN80" s="65">
        <f>BÖLCSŐDE!BN80+FALUHÁZ!BN80+ÓVODA!BN80+PMH!BN80+ÖNKORMÁNYZAT!BN80</f>
        <v>0</v>
      </c>
      <c r="BO80" s="65">
        <f>BÖLCSŐDE!BO80+FALUHÁZ!BO80+ÓVODA!BO80+PMH!BO80+ÖNKORMÁNYZAT!BO80</f>
        <v>0</v>
      </c>
      <c r="BP80" s="65">
        <f>BÖLCSŐDE!BP80+FALUHÁZ!BP80+ÓVODA!BP80+PMH!BP80+ÖNKORMÁNYZAT!BP80</f>
        <v>0</v>
      </c>
      <c r="BQ80" s="65">
        <f>BÖLCSŐDE!BQ80+FALUHÁZ!BQ80+ÓVODA!BQ80+PMH!BQ80+ÖNKORMÁNYZAT!BQ80</f>
        <v>0</v>
      </c>
      <c r="BR80" s="65">
        <f>BÖLCSŐDE!BR80+FALUHÁZ!BR80+ÓVODA!BR80+PMH!BR80+ÖNKORMÁNYZAT!BR80</f>
        <v>0</v>
      </c>
      <c r="BS80" s="65">
        <f>BÖLCSŐDE!BS80+FALUHÁZ!BS80+ÓVODA!BS80+PMH!BS80+ÖNKORMÁNYZAT!BS80</f>
        <v>0</v>
      </c>
      <c r="BT80" s="65">
        <f>BÖLCSŐDE!BT80+FALUHÁZ!BT80+ÓVODA!BT80+PMH!BT80+ÖNKORMÁNYZAT!BT80</f>
        <v>0</v>
      </c>
      <c r="BU80" s="65">
        <f>BÖLCSŐDE!BU80+FALUHÁZ!BU80+ÓVODA!BU80+PMH!BU80+ÖNKORMÁNYZAT!BU80</f>
        <v>0</v>
      </c>
      <c r="BV80" s="65">
        <f>BÖLCSŐDE!BV80+FALUHÁZ!BV80+ÓVODA!BV80+PMH!BV80+ÖNKORMÁNYZAT!BV80</f>
        <v>0</v>
      </c>
    </row>
    <row r="81" spans="1:74" x14ac:dyDescent="0.25">
      <c r="A81" s="54" t="s">
        <v>58</v>
      </c>
      <c r="B81" s="55" t="s">
        <v>162</v>
      </c>
      <c r="C81" s="55">
        <f>BÖLCSŐDE!C81+FALUHÁZ!C81+ÓVODA!C81+PMH!C81+ÖNKORMÁNYZAT!C81</f>
        <v>730000</v>
      </c>
      <c r="D81" s="55">
        <f>BÖLCSŐDE!D81+FALUHÁZ!D81+ÓVODA!D81+PMH!D81+ÖNKORMÁNYZAT!D81</f>
        <v>730000</v>
      </c>
      <c r="E81" s="55">
        <f>BÖLCSŐDE!E81+FALUHÁZ!E81+ÓVODA!E81+PMH!E81+ÖNKORMÁNYZAT!E81</f>
        <v>730000</v>
      </c>
      <c r="F81" s="55">
        <f>BÖLCSŐDE!F81+FALUHÁZ!F81+ÓVODA!F81+PMH!F81+ÖNKORMÁNYZAT!F81</f>
        <v>0</v>
      </c>
      <c r="G81" s="55">
        <f>BÖLCSŐDE!G81+FALUHÁZ!G81+ÓVODA!G81+PMH!G81+ÖNKORMÁNYZAT!G81</f>
        <v>730000</v>
      </c>
      <c r="H81" s="55">
        <f>BÖLCSŐDE!H81+FALUHÁZ!H81+ÓVODA!H81+PMH!H81+ÖNKORMÁNYZAT!H81</f>
        <v>0</v>
      </c>
      <c r="I81" s="55">
        <f t="shared" si="14"/>
        <v>0</v>
      </c>
      <c r="J81" s="55">
        <v>730000</v>
      </c>
      <c r="K81" s="55">
        <v>730000</v>
      </c>
      <c r="L81" s="55">
        <f>BÖLCSŐDE!L81+FALUHÁZ!L81+ÓVODA!L81+PMH!L81+ÖNKORMÁNYZAT!L81</f>
        <v>730000</v>
      </c>
      <c r="M81" s="1">
        <f t="shared" si="15"/>
        <v>0</v>
      </c>
      <c r="O81" s="55">
        <f>BÖLCSŐDE!O81+FALUHÁZ!N81+ÓVODA!O81+PMH!O81+ÖNKORMÁNYZAT!O81</f>
        <v>730000</v>
      </c>
      <c r="P81" s="55">
        <f>BÖLCSŐDE!P81+FALUHÁZ!O81+ÓVODA!P81+PMH!P81+ÖNKORMÁNYZAT!P81</f>
        <v>0</v>
      </c>
      <c r="Q81" s="55">
        <f>BÖLCSŐDE!Q81+FALUHÁZ!P81+ÓVODA!Q81+PMH!Q81+ÖNKORMÁNYZAT!Q81</f>
        <v>0</v>
      </c>
      <c r="R81" s="55">
        <f>BÖLCSŐDE!R81+FALUHÁZ!Q81+ÓVODA!R81+PMH!R81+ÖNKORMÁNYZAT!R81</f>
        <v>0</v>
      </c>
      <c r="S81" s="55">
        <f>BÖLCSŐDE!S81+FALUHÁZ!R81+ÓVODA!S81+PMH!S81+ÖNKORMÁNYZAT!S81</f>
        <v>730000</v>
      </c>
      <c r="T81" s="55">
        <f>BÖLCSŐDE!T81+FALUHÁZ!S81+ÓVODA!T81+PMH!T81+ÖNKORMÁNYZAT!T81</f>
        <v>0</v>
      </c>
      <c r="U81" s="55">
        <f>BÖLCSŐDE!U81+FALUHÁZ!T81+ÓVODA!U81+PMH!U81+ÖNKORMÁNYZAT!U81</f>
        <v>990000</v>
      </c>
      <c r="V81" s="55">
        <f>BÖLCSŐDE!V81+FALUHÁZ!U81+ÓVODA!V81+PMH!V81+ÖNKORMÁNYZAT!V81</f>
        <v>990000</v>
      </c>
      <c r="W81" s="55">
        <f>BÖLCSŐDE!W81+FALUHÁZ!V81+ÓVODA!W81+PMH!W81+ÖNKORMÁNYZAT!W81</f>
        <v>990000</v>
      </c>
      <c r="X81" s="122">
        <f t="shared" ref="X81:X108" si="16">T81/V81*100</f>
        <v>0</v>
      </c>
      <c r="AA81" s="55">
        <f>BÖLCSŐDE!AA81+FALUHÁZ!Z81+ÓVODA!AA81+PMH!AA81+ÖNKORMÁNYZAT!AA81</f>
        <v>990000</v>
      </c>
      <c r="AB81" s="55">
        <f>BÖLCSŐDE!AB81+FALUHÁZ!AA81+ÓVODA!AB81+PMH!AB81+ÖNKORMÁNYZAT!AB81</f>
        <v>490000</v>
      </c>
      <c r="AC81" s="55">
        <f>BÖLCSŐDE!AB81+FALUHÁZ!AA81+ÓVODA!AB81+PMH!AB81+ÖNKORMÁNYZAT!AB81</f>
        <v>490000</v>
      </c>
      <c r="AD81" s="55">
        <f>BÖLCSŐDE!AC81+FALUHÁZ!AB81+ÓVODA!AC81+PMH!AC81+ÖNKORMÁNYZAT!AC81</f>
        <v>985000</v>
      </c>
      <c r="AE81" s="223">
        <f>BÖLCSŐDE!AE81+FALUHÁZ!AD81+ÓVODA!AE81+PMH!AE81+ÖNKORMÁNYZAT!AD81</f>
        <v>985000</v>
      </c>
      <c r="AF81" s="122">
        <f t="shared" si="13"/>
        <v>99.494949494949495</v>
      </c>
      <c r="AG81" s="55">
        <f>BÖLCSŐDE!AG80+FALUHÁZ!AG80+ÓVODA!AG80+PMH!AG80+ÖNKORMÁNYZAT!AG80</f>
        <v>0</v>
      </c>
      <c r="AH81" s="55"/>
      <c r="AI81" s="55">
        <f>BÖLCSŐDE!AI81+FALUHÁZ!AJ81+ÓVODA!AI81+PMH!AI81+ÖNKORMÁNYZAT!AI81</f>
        <v>1205640</v>
      </c>
      <c r="AJ81" s="55"/>
      <c r="AK81" s="55">
        <f>BÖLCSŐDE!AL81+FALUHÁZ!AK81+ÓVODA!AK81+PMH!AK81+ÖNKORMÁNYZAT!AK81</f>
        <v>1205640</v>
      </c>
      <c r="AM81" s="55">
        <f>BÖLCSŐDE!AM81+FALUHÁZ!AM81+ÓVODA!AM81+PMH!AM81+ÖNKORMÁNYZAT!AM81</f>
        <v>985000</v>
      </c>
      <c r="AN81" s="55">
        <f>BÖLCSŐDE!AN81+FALUHÁZ!AN81+ÓVODA!AP81+PMH!AN81+ÖNKORMÁNYZAT!AP81</f>
        <v>1205640</v>
      </c>
      <c r="AO81" s="55">
        <f>BÖLCSŐDE!AO81+FALUHÁZ!AO81+ÓVODA!AQ81+PMH!AO81+ÖNKORMÁNYZAT!AQ81</f>
        <v>0</v>
      </c>
      <c r="AP81" s="55">
        <f>BÖLCSŐDE!AP81+FALUHÁZ!AP81+ÓVODA!AP81+PMH!AP81+ÖNKORMÁNYZAT!AP81</f>
        <v>1205640</v>
      </c>
      <c r="AQ81" s="55">
        <f>BÖLCSŐDE!AQ81+FALUHÁZ!AQ81+ÓVODA!AQ81+PMH!AQ81+ÖNKORMÁNYZAT!AQ81</f>
        <v>0</v>
      </c>
      <c r="AR81" s="55">
        <f t="shared" si="9"/>
        <v>1205640</v>
      </c>
      <c r="AS81" s="54">
        <f t="shared" si="10"/>
        <v>0</v>
      </c>
      <c r="AT81" s="55">
        <f>BÖLCSŐDE!AT81+FALUHÁZ!AT81+ÓVODA!AT81+PMH!AT81+ÖNKORMÁNYZAT!AT81</f>
        <v>0</v>
      </c>
      <c r="AU81" s="55">
        <f t="shared" si="11"/>
        <v>1205640</v>
      </c>
      <c r="AV81" s="54">
        <f t="shared" si="12"/>
        <v>100</v>
      </c>
      <c r="AW81" s="55">
        <f>BÖLCSŐDE!AW81+FALUHÁZ!AW81+ÓVODA!AW81+PMH!AW81+ÖNKORMÁNYZAT!AW81</f>
        <v>1205640</v>
      </c>
      <c r="AX81" s="55">
        <f>BÖLCSŐDE!AX81+FALUHÁZ!AX81+ÓVODA!AX81+PMH!AX81+ÖNKORMÁNYZAT!AX81</f>
        <v>1205640</v>
      </c>
      <c r="AY81" s="55">
        <f>BÖLCSŐDE!AY81+FALUHÁZ!AY81+ÓVODA!AY81+PMH!AY81+ÖNKORMÁNYZAT!AY81</f>
        <v>1205640</v>
      </c>
      <c r="AZ81" s="55">
        <f>BÖLCSŐDE!AZ81+FALUHÁZ!AZ81+ÓVODA!AZ81+PMH!AZ81+ÖNKORMÁNYZAT!AZ81</f>
        <v>1205640</v>
      </c>
      <c r="BA81" s="55">
        <f>BÖLCSŐDE!BA81+FALUHÁZ!BA81+ÓVODA!BA81+PMH!BA81+ÖNKORMÁNYZAT!BA81</f>
        <v>1205640</v>
      </c>
      <c r="BB81" s="501">
        <f>BÖLCSŐDE!BB81+FALUHÁZ!BB81+ÓVODA!BB81+PMH!BB81+ÖNKORMÁNYZAT!BB81</f>
        <v>1205640</v>
      </c>
      <c r="BC81" s="501">
        <f>BÖLCSŐDE!BC81+FALUHÁZ!BC81+ÓVODA!BC81+PMH!BC81+ÖNKORMÁNYZAT!BC81</f>
        <v>1205640</v>
      </c>
      <c r="BD81" s="501">
        <f>BÖLCSŐDE!BD81+FALUHÁZ!BD81+ÓVODA!BD81+PMH!BD81+ÖNKORMÁNYZAT!BD81</f>
        <v>0</v>
      </c>
      <c r="BE81" s="501">
        <f>BÖLCSŐDE!BE81+FALUHÁZ!BE81+ÓVODA!BE81+PMH!BE81+ÖNKORMÁNYZAT!BE81</f>
        <v>0</v>
      </c>
      <c r="BF81" s="501">
        <f>BÖLCSŐDE!BF81+FALUHÁZ!BF81+ÓVODA!BF81+PMH!BF81+ÖNKORMÁNYZAT!BF81</f>
        <v>0</v>
      </c>
      <c r="BG81" s="383">
        <f>BÖLCSŐDE!BG81+FALUHÁZ!BG81+ÓVODA!BG81+PMH!BG81+ÖNKORMÁNYZAT!BG81</f>
        <v>0</v>
      </c>
      <c r="BH81" s="65">
        <f>BÖLCSŐDE!BH81+FALUHÁZ!BH81+ÓVODA!BH81+PMH!BH81+ÖNKORMÁNYZAT!BH81</f>
        <v>1302091</v>
      </c>
      <c r="BI81" s="65">
        <f>BÖLCSŐDE!BI81+FALUHÁZ!BI81+ÓVODA!BI81+PMH!BI81+ÖNKORMÁNYZAT!BI81</f>
        <v>1302091</v>
      </c>
      <c r="BJ81" s="65">
        <f>BÖLCSŐDE!BJ81+FALUHÁZ!BJ81+ÓVODA!BJ81+PMH!BJ81+ÖNKORMÁNYZAT!BJ81</f>
        <v>0</v>
      </c>
      <c r="BK81" s="65">
        <f>BÖLCSŐDE!BK81+FALUHÁZ!BK81+ÓVODA!BK81+PMH!BK81+ÖNKORMÁNYZAT!BK81</f>
        <v>0</v>
      </c>
      <c r="BL81" s="65">
        <f>BÖLCSŐDE!BL81+FALUHÁZ!BL81+ÓVODA!BL81+PMH!BL81+ÖNKORMÁNYZAT!BL81</f>
        <v>0</v>
      </c>
      <c r="BM81" s="222">
        <f>BÖLCSŐDE!BM81+FALUHÁZ!BM81+ÓVODA!BM81+PMH!BM81+ÖNKORMÁNYZAT!BM81</f>
        <v>0</v>
      </c>
      <c r="BN81" s="65">
        <f>BÖLCSŐDE!BN81+FALUHÁZ!BN81+ÓVODA!BN81+PMH!BN81+ÖNKORMÁNYZAT!BN81</f>
        <v>0</v>
      </c>
      <c r="BO81" s="65">
        <f>BÖLCSŐDE!BO81+FALUHÁZ!BO81+ÓVODA!BO81+PMH!BO81+ÖNKORMÁNYZAT!BO81</f>
        <v>0</v>
      </c>
      <c r="BP81" s="65">
        <f>BÖLCSŐDE!BP81+FALUHÁZ!BP81+ÓVODA!BP81+PMH!BP81+ÖNKORMÁNYZAT!BP81</f>
        <v>0</v>
      </c>
      <c r="BQ81" s="65">
        <f>BÖLCSŐDE!BQ81+FALUHÁZ!BQ81+ÓVODA!BQ81+PMH!BQ81+ÖNKORMÁNYZAT!BQ81</f>
        <v>0</v>
      </c>
      <c r="BR81" s="65">
        <f>BÖLCSŐDE!BR81+FALUHÁZ!BR81+ÓVODA!BR81+PMH!BR81+ÖNKORMÁNYZAT!BR81</f>
        <v>0</v>
      </c>
      <c r="BS81" s="65">
        <f>BÖLCSŐDE!BS81+FALUHÁZ!BS81+ÓVODA!BS81+PMH!BS81+ÖNKORMÁNYZAT!BS81</f>
        <v>0</v>
      </c>
      <c r="BT81" s="65">
        <f>BÖLCSŐDE!BT81+FALUHÁZ!BT81+ÓVODA!BT81+PMH!BT81+ÖNKORMÁNYZAT!BT81</f>
        <v>0</v>
      </c>
      <c r="BU81" s="65">
        <f>BÖLCSŐDE!BU81+FALUHÁZ!BU81+ÓVODA!BU81+PMH!BU81+ÖNKORMÁNYZAT!BU81</f>
        <v>0</v>
      </c>
      <c r="BV81" s="65">
        <f>BÖLCSŐDE!BV81+FALUHÁZ!BV81+ÓVODA!BV81+PMH!BV81+ÖNKORMÁNYZAT!BV81</f>
        <v>0</v>
      </c>
    </row>
    <row r="82" spans="1:74" x14ac:dyDescent="0.25">
      <c r="A82" s="54" t="s">
        <v>59</v>
      </c>
      <c r="B82" s="55" t="s">
        <v>163</v>
      </c>
      <c r="C82" s="55">
        <f>BÖLCSŐDE!C82+FALUHÁZ!C82+ÓVODA!C82+PMH!C82+ÖNKORMÁNYZAT!C82</f>
        <v>12306416</v>
      </c>
      <c r="D82" s="55">
        <f>BÖLCSŐDE!D82+FALUHÁZ!D82+ÓVODA!D82+PMH!D82+ÖNKORMÁNYZAT!D82</f>
        <v>9223836</v>
      </c>
      <c r="E82" s="55">
        <f>BÖLCSŐDE!E82+FALUHÁZ!E82+ÓVODA!E82+PMH!E82+ÖNKORMÁNYZAT!E82</f>
        <v>15160000</v>
      </c>
      <c r="F82" s="55">
        <f>BÖLCSŐDE!F82+FALUHÁZ!F82+ÓVODA!F82+PMH!F82+ÖNKORMÁNYZAT!F82</f>
        <v>4422980</v>
      </c>
      <c r="G82" s="55">
        <f>BÖLCSŐDE!G82+FALUHÁZ!G82+ÓVODA!G82+PMH!G82+ÖNKORMÁNYZAT!G82</f>
        <v>15160000</v>
      </c>
      <c r="H82" s="55">
        <f>BÖLCSŐDE!H82+FALUHÁZ!H82+ÓVODA!H82+PMH!H82+ÖNKORMÁNYZAT!H82</f>
        <v>4762480</v>
      </c>
      <c r="I82" s="55">
        <f t="shared" si="14"/>
        <v>5195432.7272727275</v>
      </c>
      <c r="J82" s="55">
        <v>15350000</v>
      </c>
      <c r="K82" s="55">
        <v>14150000</v>
      </c>
      <c r="L82" s="55">
        <f>BÖLCSŐDE!L82+FALUHÁZ!L82+ÓVODA!L82+PMH!L82+ÖNKORMÁNYZAT!L82</f>
        <v>14150000</v>
      </c>
      <c r="M82" s="1">
        <f t="shared" si="15"/>
        <v>272.35459956437262</v>
      </c>
      <c r="O82" s="55">
        <f>BÖLCSŐDE!O82+FALUHÁZ!N82+ÓVODA!O82+PMH!O82+ÖNKORMÁNYZAT!O82</f>
        <v>14150000</v>
      </c>
      <c r="P82" s="55">
        <f>BÖLCSŐDE!P82+FALUHÁZ!O82+ÓVODA!P82+PMH!P82+ÖNKORMÁNYZAT!P82</f>
        <v>5177110</v>
      </c>
      <c r="Q82" s="55">
        <f>BÖLCSŐDE!Q82+FALUHÁZ!P82+ÓVODA!Q82+PMH!Q82+ÖNKORMÁNYZAT!Q82</f>
        <v>5431999</v>
      </c>
      <c r="R82" s="55">
        <f>BÖLCSŐDE!R82+FALUHÁZ!Q82+ÓVODA!R82+PMH!R82+ÖNKORMÁNYZAT!R82</f>
        <v>730000</v>
      </c>
      <c r="S82" s="55">
        <f>BÖLCSŐDE!S82+FALUHÁZ!R82+ÓVODA!S82+PMH!S82+ÖNKORMÁNYZAT!S82</f>
        <v>14150000</v>
      </c>
      <c r="T82" s="55">
        <f>BÖLCSŐDE!T82+FALUHÁZ!S82+ÓVODA!T82+PMH!T82+ÖNKORMÁNYZAT!T82</f>
        <v>6583616</v>
      </c>
      <c r="U82" s="55">
        <f>BÖLCSŐDE!U82+FALUHÁZ!T82+ÓVODA!U82+PMH!U82+ÖNKORMÁNYZAT!U82</f>
        <v>18320000</v>
      </c>
      <c r="V82" s="55">
        <f>BÖLCSŐDE!V82+FALUHÁZ!U82+ÓVODA!V82+PMH!V82+ÖNKORMÁNYZAT!V82</f>
        <v>18320000</v>
      </c>
      <c r="W82" s="139">
        <f>BÖLCSŐDE!W82+FALUHÁZ!V82+ÓVODA!W82+PMH!W82+ÖNKORMÁNYZAT!W82</f>
        <v>16750000</v>
      </c>
      <c r="X82" s="122">
        <f t="shared" si="16"/>
        <v>35.936768558951968</v>
      </c>
      <c r="AA82" s="55">
        <f>BÖLCSŐDE!AA82+FALUHÁZ!Z82+ÓVODA!AA82+PMH!AA82+ÖNKORMÁNYZAT!AA82</f>
        <v>16750000</v>
      </c>
      <c r="AB82" s="55">
        <f>BÖLCSŐDE!AB82+FALUHÁZ!AA82+ÓVODA!AB82+PMH!AB82+ÖNKORMÁNYZAT!AB82</f>
        <v>2665344</v>
      </c>
      <c r="AC82" s="55">
        <f>BÖLCSŐDE!AB82+FALUHÁZ!AA82+ÓVODA!AB82+PMH!AB82+ÖNKORMÁNYZAT!AB82</f>
        <v>2665344</v>
      </c>
      <c r="AD82" s="55">
        <f>BÖLCSŐDE!AC82+FALUHÁZ!AB82+ÓVODA!AC82+PMH!AC82+ÖNKORMÁNYZAT!AC82</f>
        <v>3219950</v>
      </c>
      <c r="AE82" s="223">
        <f>BÖLCSŐDE!AE82+FALUHÁZ!AD82+ÓVODA!AE82+PMH!AE82+ÖNKORMÁNYZAT!AD82</f>
        <v>3686119</v>
      </c>
      <c r="AF82" s="122">
        <f t="shared" si="13"/>
        <v>19.223582089552238</v>
      </c>
      <c r="AG82" s="55">
        <f>BÖLCSŐDE!AG81+FALUHÁZ!AG81+ÓVODA!AG81+PMH!AG81+ÖNKORMÁNYZAT!AG81</f>
        <v>985000</v>
      </c>
      <c r="AH82" s="55"/>
      <c r="AI82" s="55">
        <f>BÖLCSŐDE!AI82+FALUHÁZ!AJ82+ÓVODA!AI82+PMH!AI82+ÖNKORMÁNYZAT!AI82</f>
        <v>5050498.1760000009</v>
      </c>
      <c r="AJ82" s="55"/>
      <c r="AK82" s="55">
        <f>BÖLCSŐDE!AL82+FALUHÁZ!AK82+ÓVODA!AK82+PMH!AK82+ÖNKORMÁNYZAT!AK82</f>
        <v>5050498.1760000009</v>
      </c>
      <c r="AM82" s="55">
        <f>BÖLCSŐDE!AM82+FALUHÁZ!AM82+ÓVODA!AM82+PMH!AM82+ÖNKORMÁNYZAT!AM82</f>
        <v>5746769</v>
      </c>
      <c r="AN82" s="55">
        <f>BÖLCSŐDE!AN82+FALUHÁZ!AN82+ÓVODA!AP82+PMH!AN82+ÖNKORMÁNYZAT!AP82</f>
        <v>5050498</v>
      </c>
      <c r="AO82" s="55">
        <f>BÖLCSŐDE!AO82+FALUHÁZ!AO82+ÓVODA!AQ82+PMH!AO82+ÖNKORMÁNYZAT!AQ82</f>
        <v>2389835</v>
      </c>
      <c r="AP82" s="55">
        <f>BÖLCSŐDE!AP82+FALUHÁZ!AP82+ÓVODA!AP82+PMH!AP82+ÖNKORMÁNYZAT!AP82</f>
        <v>5050498</v>
      </c>
      <c r="AQ82" s="55">
        <f>BÖLCSŐDE!AQ82+FALUHÁZ!AQ82+ÓVODA!AQ82+PMH!AQ82+ÖNKORMÁNYZAT!AQ82</f>
        <v>2389835</v>
      </c>
      <c r="AR82" s="55">
        <f t="shared" si="9"/>
        <v>2660663</v>
      </c>
      <c r="AS82" s="54">
        <f t="shared" si="10"/>
        <v>47.318799057043478</v>
      </c>
      <c r="AT82" s="55">
        <f>BÖLCSŐDE!AT82+FALUHÁZ!AT82+ÓVODA!AT82+PMH!AT82+ÖNKORMÁNYZAT!AT82</f>
        <v>2881185</v>
      </c>
      <c r="AU82" s="55">
        <f t="shared" si="11"/>
        <v>2169313</v>
      </c>
      <c r="AV82" s="54">
        <f t="shared" si="12"/>
        <v>42.952457361630472</v>
      </c>
      <c r="AW82" s="55">
        <f>BÖLCSŐDE!AW82+FALUHÁZ!AW82+ÓVODA!AW82+PMH!AW82+ÖNKORMÁNYZAT!AW82</f>
        <v>5050498</v>
      </c>
      <c r="AX82" s="55">
        <f>BÖLCSŐDE!AX82+FALUHÁZ!AX82+ÓVODA!AX82+PMH!AX82+ÖNKORMÁNYZAT!AX82</f>
        <v>5050498</v>
      </c>
      <c r="AY82" s="55">
        <f>BÖLCSŐDE!AY82+FALUHÁZ!AY82+ÓVODA!AY82+PMH!AY82+ÖNKORMÁNYZAT!AY82</f>
        <v>8730000</v>
      </c>
      <c r="AZ82" s="55">
        <f>BÖLCSŐDE!AZ82+FALUHÁZ!AZ82+ÓVODA!AZ82+PMH!AZ82+ÖNKORMÁNYZAT!AZ82</f>
        <v>8730000</v>
      </c>
      <c r="BA82" s="55">
        <f>BÖLCSŐDE!BA82+FALUHÁZ!BA82+ÓVODA!BA82+PMH!BA82+ÖNKORMÁNYZAT!BA82</f>
        <v>8730000</v>
      </c>
      <c r="BB82" s="501">
        <f>BÖLCSŐDE!BB82+FALUHÁZ!BB82+ÓVODA!BB82+PMH!BB82+ÖNKORMÁNYZAT!BB82</f>
        <v>8730000</v>
      </c>
      <c r="BC82" s="501">
        <f>BÖLCSŐDE!BC82+FALUHÁZ!BC82+ÓVODA!BC82+PMH!BC82+ÖNKORMÁNYZAT!BC82</f>
        <v>8730000</v>
      </c>
      <c r="BD82" s="501">
        <f>BÖLCSŐDE!BD82+FALUHÁZ!BD82+ÓVODA!BD82+PMH!BD82+ÖNKORMÁNYZAT!BD82</f>
        <v>2293558</v>
      </c>
      <c r="BE82" s="501">
        <f>BÖLCSŐDE!BE82+FALUHÁZ!BE82+ÓVODA!BE82+PMH!BE82+ÖNKORMÁNYZAT!BE82</f>
        <v>3448626</v>
      </c>
      <c r="BF82" s="501">
        <f>BÖLCSŐDE!BF82+FALUHÁZ!BF82+ÓVODA!BF82+PMH!BF82+ÖNKORMÁNYZAT!BF82</f>
        <v>4094360</v>
      </c>
      <c r="BG82" s="383">
        <f>BÖLCSŐDE!BG82+FALUHÁZ!BG82+ÓVODA!BG82+PMH!BG82+ÖNKORMÁNYZAT!BG82</f>
        <v>4913232</v>
      </c>
      <c r="BH82" s="65">
        <f>BÖLCSŐDE!BH82+FALUHÁZ!BH82+ÓVODA!BH82+PMH!BH82+ÖNKORMÁNYZAT!BH82</f>
        <v>9430000</v>
      </c>
      <c r="BI82" s="65">
        <f>BÖLCSŐDE!BI82+FALUHÁZ!BI82+ÓVODA!BI82+PMH!BI82+ÖNKORMÁNYZAT!BI82</f>
        <v>9430000</v>
      </c>
      <c r="BJ82" s="65">
        <f>BÖLCSŐDE!BJ82+FALUHÁZ!BJ82+ÓVODA!BJ82+PMH!BJ82+ÖNKORMÁNYZAT!BJ82</f>
        <v>1230085</v>
      </c>
      <c r="BK82" s="65">
        <f>BÖLCSŐDE!BK82+FALUHÁZ!BK82+ÓVODA!BK82+PMH!BK82+ÖNKORMÁNYZAT!BK82</f>
        <v>1868485</v>
      </c>
      <c r="BL82" s="65">
        <f>BÖLCSŐDE!BL82+FALUHÁZ!BL82+ÓVODA!BL82+PMH!BL82+ÖNKORMÁNYZAT!BL82</f>
        <v>2242182</v>
      </c>
      <c r="BM82" s="222">
        <f>BÖLCSŐDE!BM82+FALUHÁZ!BM82+ÓVODA!BM82+PMH!BM82+ÖNKORMÁNYZAT!BM82</f>
        <v>7060000</v>
      </c>
      <c r="BN82" s="65">
        <f>BÖLCSŐDE!BN82+FALUHÁZ!BN82+ÓVODA!BN82+PMH!BN82+ÖNKORMÁNYZAT!BN82</f>
        <v>7060000</v>
      </c>
      <c r="BO82" s="65">
        <f>BÖLCSŐDE!BO82+FALUHÁZ!BO82+ÓVODA!BO82+PMH!BO82+ÖNKORMÁNYZAT!BO82</f>
        <v>1924437</v>
      </c>
      <c r="BP82" s="65">
        <f>BÖLCSŐDE!BP82+FALUHÁZ!BP82+ÓVODA!BP82+PMH!BP82+ÖNKORMÁNYZAT!BP82</f>
        <v>2309324.4000000004</v>
      </c>
      <c r="BQ82" s="65">
        <f>BÖLCSŐDE!BQ82+FALUHÁZ!BQ82+ÓVODA!BQ82+PMH!BQ82+ÖNKORMÁNYZAT!BQ82</f>
        <v>2771189.2800000003</v>
      </c>
      <c r="BR82" s="65">
        <f>BÖLCSŐDE!BR82+FALUHÁZ!BR82+ÓVODA!BR82+PMH!BR82+ÖNKORMÁNYZAT!BR82</f>
        <v>3000000</v>
      </c>
      <c r="BS82" s="65">
        <f>BÖLCSŐDE!BS82+FALUHÁZ!BS82+ÓVODA!BS82+PMH!BS82+ÖNKORMÁNYZAT!BS82</f>
        <v>3000000</v>
      </c>
      <c r="BT82" s="65">
        <f>BÖLCSŐDE!BT82+FALUHÁZ!BT82+ÓVODA!BT82+PMH!BT82+ÖNKORMÁNYZAT!BT82</f>
        <v>7250000</v>
      </c>
      <c r="BU82" s="65">
        <f>BÖLCSŐDE!BU82+FALUHÁZ!BU82+ÓVODA!BU82+PMH!BU82+ÖNKORMÁNYZAT!BU82</f>
        <v>6400000</v>
      </c>
      <c r="BV82" s="65">
        <f>BÖLCSŐDE!BV82+FALUHÁZ!BV82+ÓVODA!BV82+PMH!BV82+ÖNKORMÁNYZAT!BV82</f>
        <v>6400000</v>
      </c>
    </row>
    <row r="83" spans="1:74" x14ac:dyDescent="0.25">
      <c r="A83" s="54" t="s">
        <v>259</v>
      </c>
      <c r="B83" s="55" t="s">
        <v>260</v>
      </c>
      <c r="C83" s="55">
        <v>0</v>
      </c>
      <c r="D83" s="55">
        <v>0</v>
      </c>
      <c r="E83" s="55"/>
      <c r="F83" s="55"/>
      <c r="G83" s="55">
        <f>BÖLCSŐDE!G83+FALUHÁZ!G83+ÓVODA!G83+PMH!G83+ÖNKORMÁNYZAT!G83</f>
        <v>4329985</v>
      </c>
      <c r="H83" s="55">
        <f>BÖLCSŐDE!H83+FALUHÁZ!H83+ÓVODA!H83+PMH!H83+ÖNKORMÁNYZAT!H83</f>
        <v>4329613</v>
      </c>
      <c r="I83" s="55">
        <f t="shared" si="14"/>
        <v>4723214.1818181816</v>
      </c>
      <c r="J83" s="55">
        <v>0</v>
      </c>
      <c r="K83" s="55">
        <v>0</v>
      </c>
      <c r="L83" s="55">
        <f>BÖLCSŐDE!L83+FALUHÁZ!L83+ÓVODA!L83+PMH!L83+ÖNKORMÁNYZAT!L83</f>
        <v>0</v>
      </c>
      <c r="M83" s="1">
        <f t="shared" si="15"/>
        <v>0</v>
      </c>
      <c r="O83" s="55">
        <f>BÖLCSŐDE!O83+FALUHÁZ!N83+ÓVODA!O83+PMH!O83+ÖNKORMÁNYZAT!O83</f>
        <v>968000</v>
      </c>
      <c r="P83" s="55">
        <f>BÖLCSŐDE!P83+FALUHÁZ!O83+ÓVODA!P83+PMH!P83+ÖNKORMÁNYZAT!P83</f>
        <v>948607</v>
      </c>
      <c r="Q83" s="55">
        <f>BÖLCSŐDE!Q83+FALUHÁZ!P83+ÓVODA!Q83+PMH!Q83+ÖNKORMÁNYZAT!Q83</f>
        <v>948607</v>
      </c>
      <c r="R83" s="55">
        <f>BÖLCSŐDE!R83+FALUHÁZ!Q83+ÓVODA!R83+PMH!R83+ÖNKORMÁNYZAT!R83</f>
        <v>14150000</v>
      </c>
      <c r="S83" s="55">
        <f>BÖLCSŐDE!S83+FALUHÁZ!R83+ÓVODA!S83+PMH!S83+ÖNKORMÁNYZAT!S83</f>
        <v>968000</v>
      </c>
      <c r="T83" s="55">
        <f>BÖLCSŐDE!T83+FALUHÁZ!S83+ÓVODA!T83+PMH!T83+ÖNKORMÁNYZAT!T83</f>
        <v>948607</v>
      </c>
      <c r="U83" s="55">
        <f>BÖLCSŐDE!U83+FALUHÁZ!T83+ÓVODA!U83+PMH!U83+ÖNKORMÁNYZAT!U83</f>
        <v>1000000</v>
      </c>
      <c r="V83" s="55">
        <f>BÖLCSŐDE!V83+FALUHÁZ!U83+ÓVODA!V83+PMH!V83+ÖNKORMÁNYZAT!V83</f>
        <v>1000000</v>
      </c>
      <c r="W83" s="55">
        <f>BÖLCSŐDE!W83+FALUHÁZ!V83+ÓVODA!W83+PMH!W83+ÖNKORMÁNYZAT!W83</f>
        <v>1000000</v>
      </c>
      <c r="X83" s="122">
        <f t="shared" si="16"/>
        <v>94.860699999999994</v>
      </c>
      <c r="AA83" s="55">
        <f>BÖLCSŐDE!AA83+FALUHÁZ!Z83+ÓVODA!AA83+PMH!AA83+ÖNKORMÁNYZAT!AA83</f>
        <v>1000000</v>
      </c>
      <c r="AB83" s="55">
        <f>BÖLCSŐDE!AB83+FALUHÁZ!AA83+ÓVODA!AB83+PMH!AB83+ÖNKORMÁNYZAT!AB83</f>
        <v>81600</v>
      </c>
      <c r="AC83" s="55">
        <f>BÖLCSŐDE!AB83+FALUHÁZ!AA83+ÓVODA!AB83+PMH!AB83+ÖNKORMÁNYZAT!AB83</f>
        <v>81600</v>
      </c>
      <c r="AD83" s="55">
        <f>BÖLCSŐDE!AC83+FALUHÁZ!AB83+ÓVODA!AC83+PMH!AC83+ÖNKORMÁNYZAT!AC83</f>
        <v>81600</v>
      </c>
      <c r="AE83" s="223">
        <f>BÖLCSŐDE!AE83+FALUHÁZ!AD83+ÓVODA!AE83+PMH!AE83+ÖNKORMÁNYZAT!AD83</f>
        <v>81600</v>
      </c>
      <c r="AF83" s="122">
        <f t="shared" si="13"/>
        <v>8.16</v>
      </c>
      <c r="AG83" s="55">
        <f>BÖLCSŐDE!AG82+FALUHÁZ!AG82+ÓVODA!AG82+PMH!AG82+ÖNKORMÁNYZAT!AG82</f>
        <v>4126224</v>
      </c>
      <c r="AH83" s="55"/>
      <c r="AI83" s="55">
        <f>BÖLCSŐDE!AI83+FALUHÁZ!AJ83+ÓVODA!AI83+PMH!AI83+ÖNKORMÁNYZAT!AI83</f>
        <v>99878.400000000009</v>
      </c>
      <c r="AJ83" s="55"/>
      <c r="AK83" s="55">
        <f>BÖLCSŐDE!AL83+FALUHÁZ!AK83+ÓVODA!AK83+PMH!AK83+ÖNKORMÁNYZAT!AK83</f>
        <v>99878.400000000009</v>
      </c>
      <c r="AM83" s="55">
        <f>BÖLCSŐDE!AM83+FALUHÁZ!AM83+ÓVODA!AM83+PMH!AM83+ÖNKORMÁNYZAT!AM83</f>
        <v>81600</v>
      </c>
      <c r="AN83" s="55">
        <f>BÖLCSŐDE!AN83+FALUHÁZ!AN83+ÓVODA!AP83+PMH!AN83+ÖNKORMÁNYZAT!AP83</f>
        <v>99878</v>
      </c>
      <c r="AO83" s="55">
        <f>BÖLCSŐDE!AO83+FALUHÁZ!AO83+ÓVODA!AQ83+PMH!AO83+ÖNKORMÁNYZAT!AQ83</f>
        <v>0</v>
      </c>
      <c r="AP83" s="55">
        <f>BÖLCSŐDE!AP83+FALUHÁZ!AP83+ÓVODA!AP83+PMH!AP83+ÖNKORMÁNYZAT!AP83</f>
        <v>99878</v>
      </c>
      <c r="AQ83" s="55">
        <f>BÖLCSŐDE!AQ83+FALUHÁZ!AQ83+ÓVODA!AQ83+PMH!AQ83+ÖNKORMÁNYZAT!AQ83</f>
        <v>0</v>
      </c>
      <c r="AR83" s="55">
        <f t="shared" si="9"/>
        <v>99878</v>
      </c>
      <c r="AS83" s="54">
        <f t="shared" si="10"/>
        <v>0</v>
      </c>
      <c r="AT83" s="55">
        <f>BÖLCSŐDE!AT83+FALUHÁZ!AT83+ÓVODA!AT83+PMH!AT83+ÖNKORMÁNYZAT!AT83</f>
        <v>0</v>
      </c>
      <c r="AU83" s="55">
        <f t="shared" si="11"/>
        <v>99878</v>
      </c>
      <c r="AV83" s="54">
        <f t="shared" si="12"/>
        <v>100</v>
      </c>
      <c r="AW83" s="55">
        <f>BÖLCSŐDE!AW83+FALUHÁZ!AW83+ÓVODA!AW83+PMH!AW83+ÖNKORMÁNYZAT!AW83</f>
        <v>99878</v>
      </c>
      <c r="AX83" s="55">
        <f>BÖLCSŐDE!AX83+FALUHÁZ!AX83+ÓVODA!AX83+PMH!AX83+ÖNKORMÁNYZAT!AX83</f>
        <v>99878</v>
      </c>
      <c r="AY83" s="55">
        <f>BÖLCSŐDE!AY83+FALUHÁZ!AY83+ÓVODA!AY83+PMH!AY83+ÖNKORMÁNYZAT!AY83</f>
        <v>99878</v>
      </c>
      <c r="AZ83" s="55">
        <f>BÖLCSŐDE!AZ83+FALUHÁZ!AZ83+ÓVODA!AZ83+PMH!AZ83+ÖNKORMÁNYZAT!AZ83</f>
        <v>99878</v>
      </c>
      <c r="BA83" s="55">
        <f>BÖLCSŐDE!BA83+FALUHÁZ!BA83+ÓVODA!BA83+PMH!BA83+ÖNKORMÁNYZAT!BA83</f>
        <v>99878</v>
      </c>
      <c r="BB83" s="501">
        <f>BÖLCSŐDE!BB83+FALUHÁZ!BB83+ÓVODA!BB83+PMH!BB83+ÖNKORMÁNYZAT!BB83</f>
        <v>99877</v>
      </c>
      <c r="BC83" s="501">
        <f>BÖLCSŐDE!BC83+FALUHÁZ!BC83+ÓVODA!BC83+PMH!BC83+ÖNKORMÁNYZAT!BC83</f>
        <v>0</v>
      </c>
      <c r="BD83" s="501">
        <f>BÖLCSŐDE!BD83+FALUHÁZ!BD83+ÓVODA!BD83+PMH!BD83+ÖNKORMÁNYZAT!BD83</f>
        <v>0</v>
      </c>
      <c r="BE83" s="501">
        <f>BÖLCSŐDE!BE83+FALUHÁZ!BE83+ÓVODA!BE83+PMH!BE83+ÖNKORMÁNYZAT!BE83</f>
        <v>1539420</v>
      </c>
      <c r="BF83" s="501">
        <f>BÖLCSŐDE!BF83+FALUHÁZ!BF83+ÓVODA!BF83+PMH!BF83+ÖNKORMÁNYZAT!BF83</f>
        <v>1649006</v>
      </c>
      <c r="BG83" s="383">
        <f>BÖLCSŐDE!BG83+FALUHÁZ!BG83+ÓVODA!BG83+PMH!BG83+ÖNKORMÁNYZAT!BG83</f>
        <v>1978807.2000000002</v>
      </c>
      <c r="BH83" s="65">
        <f>BÖLCSŐDE!BH83+FALUHÁZ!BH83+ÓVODA!BH83+PMH!BH83+ÖNKORMÁNYZAT!BH83</f>
        <v>0</v>
      </c>
      <c r="BI83" s="65">
        <f>BÖLCSŐDE!BI83+FALUHÁZ!BI83+ÓVODA!BI83+PMH!BI83+ÖNKORMÁNYZAT!BI83</f>
        <v>76200</v>
      </c>
      <c r="BJ83" s="65">
        <f>BÖLCSŐDE!BJ83+FALUHÁZ!BJ83+ÓVODA!BJ83+PMH!BJ83+ÖNKORMÁNYZAT!BJ83</f>
        <v>76200</v>
      </c>
      <c r="BK83" s="65">
        <f>BÖLCSŐDE!BK83+FALUHÁZ!BK83+ÓVODA!BK83+PMH!BK83+ÖNKORMÁNYZAT!BK83</f>
        <v>76200</v>
      </c>
      <c r="BL83" s="65">
        <f>BÖLCSŐDE!BL83+FALUHÁZ!BL83+ÓVODA!BL83+PMH!BL83+ÖNKORMÁNYZAT!BL83</f>
        <v>91440</v>
      </c>
      <c r="BM83" s="222">
        <f>BÖLCSŐDE!BM83+FALUHÁZ!BM83+ÓVODA!BM83+PMH!BM83+ÖNKORMÁNYZAT!BM83</f>
        <v>0</v>
      </c>
      <c r="BN83" s="65">
        <f>BÖLCSŐDE!BN83+FALUHÁZ!BN83+ÓVODA!BN83+PMH!BN83+ÖNKORMÁNYZAT!BN83</f>
        <v>0</v>
      </c>
      <c r="BO83" s="65">
        <f>BÖLCSŐDE!BO83+FALUHÁZ!BO83+ÓVODA!BO83+PMH!BO83+ÖNKORMÁNYZAT!BO83</f>
        <v>11046939</v>
      </c>
      <c r="BP83" s="65">
        <f>BÖLCSŐDE!BP83+FALUHÁZ!BP83+ÓVODA!BP83+PMH!BP83+ÖNKORMÁNYZAT!BP83</f>
        <v>13256326.800000001</v>
      </c>
      <c r="BQ83" s="65">
        <f>BÖLCSŐDE!BQ83+FALUHÁZ!BQ83+ÓVODA!BQ83+PMH!BQ83+ÖNKORMÁNYZAT!BQ83</f>
        <v>239121.96</v>
      </c>
      <c r="BR83" s="65">
        <f>BÖLCSŐDE!BR83+FALUHÁZ!BR83+ÓVODA!BR83+PMH!BR83+ÖNKORMÁNYZAT!BR83</f>
        <v>0</v>
      </c>
      <c r="BS83" s="65">
        <f>BÖLCSŐDE!BS83+FALUHÁZ!BS83+ÓVODA!BS83+PMH!BS83+ÖNKORMÁNYZAT!BS83</f>
        <v>0</v>
      </c>
      <c r="BT83" s="65">
        <f>BÖLCSŐDE!BT83+FALUHÁZ!BT83+ÓVODA!BT83+PMH!BT83+ÖNKORMÁNYZAT!BT83</f>
        <v>0</v>
      </c>
      <c r="BU83" s="65">
        <f>BÖLCSŐDE!BU83+FALUHÁZ!BU83+ÓVODA!BU83+PMH!BU83+ÖNKORMÁNYZAT!BU83</f>
        <v>13641450</v>
      </c>
      <c r="BV83" s="54"/>
    </row>
    <row r="84" spans="1:74" x14ac:dyDescent="0.25">
      <c r="A84" s="54" t="s">
        <v>60</v>
      </c>
      <c r="B84" s="55" t="s">
        <v>164</v>
      </c>
      <c r="C84" s="55">
        <f>BÖLCSŐDE!C84+FALUHÁZ!C84+ÓVODA!C84+PMH!C84+ÖNKORMÁNYZAT!C84</f>
        <v>4390000</v>
      </c>
      <c r="D84" s="55">
        <f>BÖLCSŐDE!D84+FALUHÁZ!D84+ÓVODA!D84+PMH!D84+ÖNKORMÁNYZAT!D84</f>
        <v>4390000</v>
      </c>
      <c r="E84" s="55">
        <f>BÖLCSŐDE!E84+FALUHÁZ!E84+ÓVODA!E84+PMH!E84+ÖNKORMÁNYZAT!E84</f>
        <v>4390000</v>
      </c>
      <c r="F84" s="55">
        <f>BÖLCSŐDE!F84+FALUHÁZ!F84+ÓVODA!F84+PMH!F84+ÖNKORMÁNYZAT!F84</f>
        <v>4329613</v>
      </c>
      <c r="G84" s="55">
        <f>BÖLCSŐDE!G84+FALUHÁZ!G84+ÓVODA!G84+PMH!G84+ÖNKORMÁNYZAT!G84</f>
        <v>4390000</v>
      </c>
      <c r="H84" s="55">
        <f>BÖLCSŐDE!H84+FALUHÁZ!H84+ÓVODA!H84+PMH!H84+ÖNKORMÁNYZAT!H84</f>
        <v>0</v>
      </c>
      <c r="I84" s="55">
        <f t="shared" si="14"/>
        <v>0</v>
      </c>
      <c r="J84" s="55">
        <v>4390000</v>
      </c>
      <c r="K84" s="55">
        <v>2400000</v>
      </c>
      <c r="L84" s="55">
        <f>BÖLCSŐDE!L84+FALUHÁZ!L84+ÓVODA!L84+PMH!L84+ÖNKORMÁNYZAT!L84</f>
        <v>2400000</v>
      </c>
      <c r="M84" s="1">
        <f t="shared" si="15"/>
        <v>0</v>
      </c>
      <c r="O84" s="55">
        <f>BÖLCSŐDE!O84+FALUHÁZ!N84+ÓVODA!O84+PMH!O84+ÖNKORMÁNYZAT!O84</f>
        <v>0</v>
      </c>
      <c r="P84" s="55">
        <f>BÖLCSŐDE!P84+FALUHÁZ!O84+ÓVODA!P84+PMH!P84+ÖNKORMÁNYZAT!P84</f>
        <v>0</v>
      </c>
      <c r="Q84" s="55">
        <f>BÖLCSŐDE!Q84+FALUHÁZ!P84+ÓVODA!Q84+PMH!Q84+ÖNKORMÁNYZAT!Q84</f>
        <v>0</v>
      </c>
      <c r="R84" s="55">
        <f>BÖLCSŐDE!R84+FALUHÁZ!Q84+ÓVODA!R84+PMH!R84+ÖNKORMÁNYZAT!R84</f>
        <v>0</v>
      </c>
      <c r="S84" s="55">
        <f>BÖLCSŐDE!S84+FALUHÁZ!R84+ÓVODA!S84+PMH!S84+ÖNKORMÁNYZAT!S84</f>
        <v>0</v>
      </c>
      <c r="T84" s="55">
        <f>BÖLCSŐDE!T84+FALUHÁZ!S84+ÓVODA!T84+PMH!T84+ÖNKORMÁNYZAT!T84</f>
        <v>0</v>
      </c>
      <c r="U84" s="55">
        <f>BÖLCSŐDE!U84+FALUHÁZ!T84+ÓVODA!U84+PMH!U84+ÖNKORMÁNYZAT!U84</f>
        <v>0</v>
      </c>
      <c r="V84" s="55">
        <f>BÖLCSŐDE!V84+FALUHÁZ!U84+ÓVODA!V84+PMH!V84+ÖNKORMÁNYZAT!V84</f>
        <v>0</v>
      </c>
      <c r="W84" s="55">
        <f>BÖLCSŐDE!W84+FALUHÁZ!V84+ÓVODA!W84+PMH!W84+ÖNKORMÁNYZAT!W84</f>
        <v>0</v>
      </c>
      <c r="X84" s="122"/>
      <c r="AA84" s="55">
        <f>BÖLCSŐDE!AA84+FALUHÁZ!Z84+ÓVODA!AA84+PMH!AA84+ÖNKORMÁNYZAT!AA84</f>
        <v>0</v>
      </c>
      <c r="AB84" s="55">
        <f>BÖLCSŐDE!AB84+FALUHÁZ!AA84+ÓVODA!AB84+PMH!AB84+ÖNKORMÁNYZAT!AB84</f>
        <v>0</v>
      </c>
      <c r="AC84" s="55">
        <f>BÖLCSŐDE!AB84+FALUHÁZ!AA84+ÓVODA!AB84+PMH!AB84+ÖNKORMÁNYZAT!AB84</f>
        <v>0</v>
      </c>
      <c r="AD84" s="55">
        <f>BÖLCSŐDE!AC84+FALUHÁZ!AB84+ÓVODA!AC84+PMH!AC84+ÖNKORMÁNYZAT!AC84</f>
        <v>0</v>
      </c>
      <c r="AE84" s="223">
        <f>BÖLCSŐDE!AE84+FALUHÁZ!AD84+ÓVODA!AE84+PMH!AE84+ÖNKORMÁNYZAT!AD84</f>
        <v>0</v>
      </c>
      <c r="AF84" s="122"/>
      <c r="AG84" s="55">
        <f>BÖLCSŐDE!AG83+FALUHÁZ!AG83+ÓVODA!AG83+PMH!AG83+ÖNKORMÁNYZAT!AG83</f>
        <v>81600</v>
      </c>
      <c r="AH84" s="55"/>
      <c r="AI84" s="55">
        <f>BÖLCSŐDE!AI84+FALUHÁZ!AJ84+ÓVODA!AI84+PMH!AI84+ÖNKORMÁNYZAT!AI84</f>
        <v>0</v>
      </c>
      <c r="AJ84" s="55"/>
      <c r="AK84" s="55">
        <f>BÖLCSŐDE!AL84+FALUHÁZ!AK84+ÓVODA!AK84+PMH!AK84+ÖNKORMÁNYZAT!AK84</f>
        <v>0</v>
      </c>
      <c r="AM84" s="55">
        <f>BÖLCSŐDE!AM84+FALUHÁZ!AM84+ÓVODA!AM84+PMH!AM84+ÖNKORMÁNYZAT!AM84</f>
        <v>0</v>
      </c>
      <c r="AN84" s="55">
        <f>BÖLCSŐDE!AN84+FALUHÁZ!AN84+ÓVODA!AP84+PMH!AN84+ÖNKORMÁNYZAT!AP84</f>
        <v>0</v>
      </c>
      <c r="AO84" s="55">
        <f>BÖLCSŐDE!AO84+FALUHÁZ!AO84+ÓVODA!AQ84+PMH!AO84+ÖNKORMÁNYZAT!AQ84</f>
        <v>0</v>
      </c>
      <c r="AP84" s="55">
        <f>BÖLCSŐDE!AP84+FALUHÁZ!AP84+ÓVODA!AP84+PMH!AP84+ÖNKORMÁNYZAT!AP84</f>
        <v>0</v>
      </c>
      <c r="AQ84" s="55">
        <f>BÖLCSŐDE!AQ84+FALUHÁZ!AQ84+ÓVODA!AQ84+PMH!AQ84+ÖNKORMÁNYZAT!AQ84</f>
        <v>0</v>
      </c>
      <c r="AR84" s="55">
        <f t="shared" si="9"/>
        <v>0</v>
      </c>
      <c r="AS84" s="54"/>
      <c r="AT84" s="55">
        <f>BÖLCSŐDE!AT84+FALUHÁZ!AT84+ÓVODA!AT84+PMH!AT84+ÖNKORMÁNYZAT!AT84</f>
        <v>0</v>
      </c>
      <c r="AU84" s="55"/>
      <c r="AV84" s="54"/>
      <c r="AW84" s="55">
        <f>BÖLCSŐDE!AW84+FALUHÁZ!AW84+ÓVODA!AW84+PMH!AW84+ÖNKORMÁNYZAT!AW84</f>
        <v>0</v>
      </c>
      <c r="AX84" s="55">
        <f>BÖLCSŐDE!AX84+FALUHÁZ!AX84+ÓVODA!AX84+PMH!AX84+ÖNKORMÁNYZAT!AX84</f>
        <v>0</v>
      </c>
      <c r="AY84" s="55">
        <f>BÖLCSŐDE!AY84+FALUHÁZ!AY84+ÓVODA!AY84+PMH!AY84+ÖNKORMÁNYZAT!AY84</f>
        <v>0</v>
      </c>
      <c r="AZ84" s="55">
        <f>BÖLCSŐDE!AZ84+FALUHÁZ!AZ84+ÓVODA!AZ84+PMH!AZ84+ÖNKORMÁNYZAT!AZ84</f>
        <v>0</v>
      </c>
      <c r="BA84" s="55">
        <f>BÖLCSŐDE!BA84+FALUHÁZ!BA84+ÓVODA!BA84+PMH!BA84+ÖNKORMÁNYZAT!BA84</f>
        <v>0</v>
      </c>
      <c r="BB84" s="501">
        <f>BÖLCSŐDE!BB84+FALUHÁZ!BB84+ÓVODA!BB84+PMH!BB84+ÖNKORMÁNYZAT!BB84</f>
        <v>0</v>
      </c>
      <c r="BC84" s="501">
        <f>BÖLCSŐDE!BC84+FALUHÁZ!BC84+ÓVODA!BC84+PMH!BC84+ÖNKORMÁNYZAT!BC84</f>
        <v>0</v>
      </c>
      <c r="BD84" s="501">
        <f>BÖLCSŐDE!BD84+FALUHÁZ!BD84+ÓVODA!BD84+PMH!BD84+ÖNKORMÁNYZAT!BD84</f>
        <v>0</v>
      </c>
      <c r="BE84" s="501">
        <f>BÖLCSŐDE!BE84+FALUHÁZ!BE84+ÓVODA!BE84+PMH!BE84+ÖNKORMÁNYZAT!BE84</f>
        <v>0</v>
      </c>
      <c r="BF84" s="501">
        <f>BÖLCSŐDE!BF84+FALUHÁZ!BF84+ÓVODA!BF84+PMH!BF84+ÖNKORMÁNYZAT!BF84</f>
        <v>0</v>
      </c>
      <c r="BG84" s="383">
        <f>BÖLCSŐDE!BG84+FALUHÁZ!BG84+ÓVODA!BG84+PMH!BG84+ÖNKORMÁNYZAT!BG84</f>
        <v>0</v>
      </c>
      <c r="BH84" s="65">
        <f>BÖLCSŐDE!BH84+FALUHÁZ!BH84+ÓVODA!BH84+PMH!BH84+ÖNKORMÁNYZAT!BH84</f>
        <v>0</v>
      </c>
      <c r="BI84" s="65">
        <f>BÖLCSŐDE!BI84+FALUHÁZ!BI84+ÓVODA!BI84+PMH!BI84+ÖNKORMÁNYZAT!BI84</f>
        <v>0</v>
      </c>
      <c r="BJ84" s="65">
        <f>BÖLCSŐDE!BJ84+FALUHÁZ!BJ84+ÓVODA!BJ84+PMH!BJ84+ÖNKORMÁNYZAT!BJ84</f>
        <v>0</v>
      </c>
      <c r="BK84" s="65">
        <f>BÖLCSŐDE!BK84+FALUHÁZ!BK84+ÓVODA!BK84+PMH!BK84+ÖNKORMÁNYZAT!BK84</f>
        <v>0</v>
      </c>
      <c r="BL84" s="65">
        <f>BÖLCSŐDE!BL84+FALUHÁZ!BL84+ÓVODA!BL84+PMH!BL84+ÖNKORMÁNYZAT!BL84</f>
        <v>0</v>
      </c>
      <c r="BM84" s="222">
        <f>BÖLCSŐDE!BM84+FALUHÁZ!BM84+ÓVODA!BM84+PMH!BM84+ÖNKORMÁNYZAT!BM84</f>
        <v>0</v>
      </c>
      <c r="BN84" s="65">
        <f>BÖLCSŐDE!BN84+FALUHÁZ!BN84+ÓVODA!BN84+PMH!BN84+ÖNKORMÁNYZAT!BN84</f>
        <v>0</v>
      </c>
      <c r="BO84" s="65">
        <f>BÖLCSŐDE!BO84+FALUHÁZ!BO84+ÓVODA!BO84+PMH!BO84+ÖNKORMÁNYZAT!BO84</f>
        <v>0</v>
      </c>
      <c r="BP84" s="65">
        <f>BÖLCSŐDE!BP84+FALUHÁZ!BP84+ÓVODA!BP84+PMH!BP84+ÖNKORMÁNYZAT!BP84</f>
        <v>0</v>
      </c>
      <c r="BQ84" s="65">
        <f>BÖLCSŐDE!BQ84+FALUHÁZ!BQ84+ÓVODA!BQ84+PMH!BQ84+ÖNKORMÁNYZAT!BQ84</f>
        <v>0</v>
      </c>
      <c r="BR84" s="65">
        <f>BÖLCSŐDE!BR84+FALUHÁZ!BR84+ÓVODA!BR84+PMH!BR84+ÖNKORMÁNYZAT!BR84</f>
        <v>0</v>
      </c>
      <c r="BS84" s="65">
        <f>BÖLCSŐDE!BS84+FALUHÁZ!BS84+ÓVODA!BS84+PMH!BS84+ÖNKORMÁNYZAT!BS84</f>
        <v>0</v>
      </c>
      <c r="BT84" s="65">
        <f>BÖLCSŐDE!BT84+FALUHÁZ!BT84+ÓVODA!BT84+PMH!BT84+ÖNKORMÁNYZAT!BT84</f>
        <v>0</v>
      </c>
      <c r="BU84" s="65">
        <f>BÖLCSŐDE!BU84+FALUHÁZ!BU84+ÓVODA!BU84+PMH!BU84+ÖNKORMÁNYZAT!BU84</f>
        <v>0</v>
      </c>
      <c r="BV84" s="65">
        <f>BÖLCSŐDE!BV84+FALUHÁZ!BV84+ÓVODA!BV84+PMH!BV84+ÖNKORMÁNYZAT!BV84</f>
        <v>0</v>
      </c>
    </row>
    <row r="85" spans="1:74" x14ac:dyDescent="0.25">
      <c r="A85" s="54" t="s">
        <v>61</v>
      </c>
      <c r="B85" s="55" t="s">
        <v>165</v>
      </c>
      <c r="C85" s="55">
        <f>BÖLCSŐDE!C85+FALUHÁZ!C85+ÓVODA!C85+PMH!C85+ÖNKORMÁNYZAT!C85</f>
        <v>2600000</v>
      </c>
      <c r="D85" s="55">
        <f>BÖLCSŐDE!D85+FALUHÁZ!D85+ÓVODA!D85+PMH!D85+ÖNKORMÁNYZAT!D85</f>
        <v>3110000</v>
      </c>
      <c r="E85" s="55">
        <f>BÖLCSŐDE!E85+FALUHÁZ!E85+ÓVODA!E85+PMH!E85+ÖNKORMÁNYZAT!E85</f>
        <v>16920000</v>
      </c>
      <c r="F85" s="55">
        <f>BÖLCSŐDE!F85+FALUHÁZ!F85+ÓVODA!F85+PMH!F85+ÖNKORMÁNYZAT!F85</f>
        <v>0</v>
      </c>
      <c r="G85" s="55">
        <f>BÖLCSŐDE!G85+FALUHÁZ!G85+ÓVODA!G85+PMH!G85+ÖNKORMÁNYZAT!G85</f>
        <v>7235470</v>
      </c>
      <c r="H85" s="55">
        <f>BÖLCSŐDE!H85+FALUHÁZ!H85+ÓVODA!H85+PMH!H85+ÖNKORMÁNYZAT!H85</f>
        <v>0</v>
      </c>
      <c r="I85" s="55">
        <f t="shared" si="14"/>
        <v>0</v>
      </c>
      <c r="J85" s="55">
        <v>16920000</v>
      </c>
      <c r="K85" s="55">
        <v>6500000</v>
      </c>
      <c r="L85" s="55">
        <f>BÖLCSŐDE!L85+FALUHÁZ!L85+ÓVODA!L85+PMH!L85+ÖNKORMÁNYZAT!L85</f>
        <v>6500000</v>
      </c>
      <c r="M85" s="1">
        <f t="shared" si="15"/>
        <v>0</v>
      </c>
      <c r="O85" s="55">
        <f>BÖLCSŐDE!O85+FALUHÁZ!N85+ÓVODA!O85+PMH!O85+ÖNKORMÁNYZAT!O85</f>
        <v>0</v>
      </c>
      <c r="P85" s="55">
        <f>BÖLCSŐDE!P85+FALUHÁZ!O85+ÓVODA!P85+PMH!P85+ÖNKORMÁNYZAT!P85</f>
        <v>0</v>
      </c>
      <c r="Q85" s="55">
        <f>BÖLCSŐDE!Q85+FALUHÁZ!P85+ÓVODA!Q85+PMH!Q85+ÖNKORMÁNYZAT!Q85</f>
        <v>0</v>
      </c>
      <c r="R85" s="55">
        <f>BÖLCSŐDE!R85+FALUHÁZ!Q85+ÓVODA!R85+PMH!R85+ÖNKORMÁNYZAT!R85</f>
        <v>2400000</v>
      </c>
      <c r="S85" s="55">
        <f>BÖLCSŐDE!S85+FALUHÁZ!R85+ÓVODA!S85+PMH!S85+ÖNKORMÁNYZAT!S85</f>
        <v>0</v>
      </c>
      <c r="T85" s="55">
        <f>BÖLCSŐDE!T85+FALUHÁZ!S85+ÓVODA!T85+PMH!T85+ÖNKORMÁNYZAT!T85</f>
        <v>0</v>
      </c>
      <c r="U85" s="55">
        <f>BÖLCSŐDE!U85+FALUHÁZ!T85+ÓVODA!U85+PMH!U85+ÖNKORMÁNYZAT!U85</f>
        <v>0</v>
      </c>
      <c r="V85" s="55">
        <f>BÖLCSŐDE!V85+FALUHÁZ!U85+ÓVODA!V85+PMH!V85+ÖNKORMÁNYZAT!V85</f>
        <v>0</v>
      </c>
      <c r="W85" s="55">
        <f>BÖLCSŐDE!W85+FALUHÁZ!V85+ÓVODA!W85+PMH!W85+ÖNKORMÁNYZAT!W85</f>
        <v>0</v>
      </c>
      <c r="X85" s="122"/>
      <c r="AA85" s="55">
        <f>BÖLCSŐDE!AA85+FALUHÁZ!Z85+ÓVODA!AA85+PMH!AA85+ÖNKORMÁNYZAT!AA85</f>
        <v>0</v>
      </c>
      <c r="AB85" s="55">
        <f>BÖLCSŐDE!AB85+FALUHÁZ!AA85+ÓVODA!AB85+PMH!AB85+ÖNKORMÁNYZAT!AB85</f>
        <v>0</v>
      </c>
      <c r="AC85" s="55">
        <f>BÖLCSŐDE!AB85+FALUHÁZ!AA85+ÓVODA!AB85+PMH!AB85+ÖNKORMÁNYZAT!AB85</f>
        <v>0</v>
      </c>
      <c r="AD85" s="55">
        <f>BÖLCSŐDE!AC85+FALUHÁZ!AB85+ÓVODA!AC85+PMH!AC85+ÖNKORMÁNYZAT!AC85</f>
        <v>0</v>
      </c>
      <c r="AE85" s="223">
        <f>BÖLCSŐDE!AE85+FALUHÁZ!AD85+ÓVODA!AE85+PMH!AE85+ÖNKORMÁNYZAT!AD85</f>
        <v>0</v>
      </c>
      <c r="AF85" s="122"/>
      <c r="AG85" s="55">
        <f>BÖLCSŐDE!AG84+FALUHÁZ!AG84+ÓVODA!AG84+PMH!AG84+ÖNKORMÁNYZAT!AG84</f>
        <v>0</v>
      </c>
      <c r="AH85" s="55"/>
      <c r="AI85" s="55">
        <f>BÖLCSŐDE!AI85+FALUHÁZ!AJ85+ÓVODA!AI85+PMH!AI85+ÖNKORMÁNYZAT!AI85</f>
        <v>0</v>
      </c>
      <c r="AJ85" s="55"/>
      <c r="AK85" s="55">
        <f>BÖLCSŐDE!AL85+FALUHÁZ!AK85+ÓVODA!AK85+PMH!AK85+ÖNKORMÁNYZAT!AK85</f>
        <v>0</v>
      </c>
      <c r="AM85" s="55">
        <f>BÖLCSŐDE!AM85+FALUHÁZ!AM85+ÓVODA!AM85+PMH!AM85+ÖNKORMÁNYZAT!AM85</f>
        <v>0</v>
      </c>
      <c r="AN85" s="55">
        <f>BÖLCSŐDE!AN85+FALUHÁZ!AN85+ÓVODA!AP85+PMH!AN85+ÖNKORMÁNYZAT!AP85</f>
        <v>0</v>
      </c>
      <c r="AO85" s="55">
        <f>BÖLCSŐDE!AO85+FALUHÁZ!AO85+ÓVODA!AQ85+PMH!AO85+ÖNKORMÁNYZAT!AQ85</f>
        <v>0</v>
      </c>
      <c r="AP85" s="55">
        <f>BÖLCSŐDE!AP85+FALUHÁZ!AP85+ÓVODA!AP85+PMH!AP85+ÖNKORMÁNYZAT!AP85</f>
        <v>0</v>
      </c>
      <c r="AQ85" s="55">
        <f>BÖLCSŐDE!AQ85+FALUHÁZ!AQ85+ÓVODA!AQ85+PMH!AQ85+ÖNKORMÁNYZAT!AQ85</f>
        <v>0</v>
      </c>
      <c r="AR85" s="55">
        <f t="shared" si="9"/>
        <v>0</v>
      </c>
      <c r="AS85" s="54"/>
      <c r="AT85" s="55">
        <f>BÖLCSŐDE!AT85+FALUHÁZ!AT85+ÓVODA!AT85+PMH!AT85+ÖNKORMÁNYZAT!AT85</f>
        <v>0</v>
      </c>
      <c r="AU85" s="55"/>
      <c r="AV85" s="54"/>
      <c r="AW85" s="55">
        <f>BÖLCSŐDE!AW85+FALUHÁZ!AW85+ÓVODA!AW85+PMH!AW85+ÖNKORMÁNYZAT!AW85</f>
        <v>0</v>
      </c>
      <c r="AX85" s="55">
        <f>BÖLCSŐDE!AX85+FALUHÁZ!AX85+ÓVODA!AX85+PMH!AX85+ÖNKORMÁNYZAT!AX85</f>
        <v>0</v>
      </c>
      <c r="AY85" s="55">
        <f>BÖLCSŐDE!AY85+FALUHÁZ!AY85+ÓVODA!AY85+PMH!AY85+ÖNKORMÁNYZAT!AY85</f>
        <v>0</v>
      </c>
      <c r="AZ85" s="55">
        <f>BÖLCSŐDE!AZ85+FALUHÁZ!AZ85+ÓVODA!AZ85+PMH!AZ85+ÖNKORMÁNYZAT!AZ85</f>
        <v>0</v>
      </c>
      <c r="BA85" s="55">
        <f>BÖLCSŐDE!BA85+FALUHÁZ!BA85+ÓVODA!BA85+PMH!BA85+ÖNKORMÁNYZAT!BA85</f>
        <v>0</v>
      </c>
      <c r="BB85" s="501">
        <f>BÖLCSŐDE!BB85+FALUHÁZ!BB85+ÓVODA!BB85+PMH!BB85+ÖNKORMÁNYZAT!BB85</f>
        <v>0</v>
      </c>
      <c r="BC85" s="501">
        <f>BÖLCSŐDE!BC85+FALUHÁZ!BC85+ÓVODA!BC85+PMH!BC85+ÖNKORMÁNYZAT!BC85</f>
        <v>0</v>
      </c>
      <c r="BD85" s="501">
        <f>BÖLCSŐDE!BD85+FALUHÁZ!BD85+ÓVODA!BD85+PMH!BD85+ÖNKORMÁNYZAT!BD85</f>
        <v>0</v>
      </c>
      <c r="BE85" s="501">
        <f>BÖLCSŐDE!BE85+FALUHÁZ!BE85+ÓVODA!BE85+PMH!BE85+ÖNKORMÁNYZAT!BE85</f>
        <v>0</v>
      </c>
      <c r="BF85" s="501">
        <f>BÖLCSŐDE!BF85+FALUHÁZ!BF85+ÓVODA!BF85+PMH!BF85+ÖNKORMÁNYZAT!BF85</f>
        <v>0</v>
      </c>
      <c r="BG85" s="383">
        <f>BÖLCSŐDE!BG85+FALUHÁZ!BG85+ÓVODA!BG85+PMH!BG85+ÖNKORMÁNYZAT!BG85</f>
        <v>0</v>
      </c>
      <c r="BH85" s="65">
        <f>BÖLCSŐDE!BH85+FALUHÁZ!BH85+ÓVODA!BH85+PMH!BH85+ÖNKORMÁNYZAT!BH85</f>
        <v>0</v>
      </c>
      <c r="BI85" s="65">
        <f>BÖLCSŐDE!BI85+FALUHÁZ!BI85+ÓVODA!BI85+PMH!BI85+ÖNKORMÁNYZAT!BI85</f>
        <v>0</v>
      </c>
      <c r="BJ85" s="65">
        <f>BÖLCSŐDE!BJ85+FALUHÁZ!BJ85+ÓVODA!BJ85+PMH!BJ85+ÖNKORMÁNYZAT!BJ85</f>
        <v>0</v>
      </c>
      <c r="BK85" s="65">
        <f>BÖLCSŐDE!BK85+FALUHÁZ!BK85+ÓVODA!BK85+PMH!BK85+ÖNKORMÁNYZAT!BK85</f>
        <v>0</v>
      </c>
      <c r="BL85" s="65">
        <f>BÖLCSŐDE!BL85+FALUHÁZ!BL85+ÓVODA!BL85+PMH!BL85+ÖNKORMÁNYZAT!BL85</f>
        <v>0</v>
      </c>
      <c r="BM85" s="222">
        <f>BÖLCSŐDE!BM85+FALUHÁZ!BM85+ÓVODA!BM85+PMH!BM85+ÖNKORMÁNYZAT!BM85</f>
        <v>0</v>
      </c>
      <c r="BN85" s="65">
        <f>BÖLCSŐDE!BN85+FALUHÁZ!BN85+ÓVODA!BN85+PMH!BN85+ÖNKORMÁNYZAT!BN85</f>
        <v>0</v>
      </c>
      <c r="BO85" s="65">
        <f>BÖLCSŐDE!BO85+FALUHÁZ!BO85+ÓVODA!BO85+PMH!BO85+ÖNKORMÁNYZAT!BO85</f>
        <v>0</v>
      </c>
      <c r="BP85" s="65">
        <f>BÖLCSŐDE!BP85+FALUHÁZ!BP85+ÓVODA!BP85+PMH!BP85+ÖNKORMÁNYZAT!BP85</f>
        <v>0</v>
      </c>
      <c r="BQ85" s="65">
        <f>BÖLCSŐDE!BQ85+FALUHÁZ!BQ85+ÓVODA!BQ85+PMH!BQ85+ÖNKORMÁNYZAT!BQ85</f>
        <v>0</v>
      </c>
      <c r="BR85" s="65">
        <f>BÖLCSŐDE!BR85+FALUHÁZ!BR85+ÓVODA!BR85+PMH!BR85+ÖNKORMÁNYZAT!BR85</f>
        <v>0</v>
      </c>
      <c r="BS85" s="65">
        <f>BÖLCSŐDE!BS85+FALUHÁZ!BS85+ÓVODA!BS85+PMH!BS85+ÖNKORMÁNYZAT!BS85</f>
        <v>0</v>
      </c>
      <c r="BT85" s="65">
        <f>BÖLCSŐDE!BT85+FALUHÁZ!BT85+ÓVODA!BT85+PMH!BT85+ÖNKORMÁNYZAT!BT85</f>
        <v>0</v>
      </c>
      <c r="BU85" s="65">
        <f>BÖLCSŐDE!BU85+FALUHÁZ!BU85+ÓVODA!BU85+PMH!BU85+ÖNKORMÁNYZAT!BU85</f>
        <v>0</v>
      </c>
      <c r="BV85" s="65">
        <f>BÖLCSŐDE!BV85+FALUHÁZ!BV85+ÓVODA!BV85+PMH!BV85+ÖNKORMÁNYZAT!BV85</f>
        <v>0</v>
      </c>
    </row>
    <row r="86" spans="1:74" x14ac:dyDescent="0.25">
      <c r="A86" s="54" t="s">
        <v>62</v>
      </c>
      <c r="B86" s="55" t="s">
        <v>166</v>
      </c>
      <c r="C86" s="55">
        <f>BÖLCSŐDE!C86+FALUHÁZ!C86+ÓVODA!C86+PMH!C86+ÖNKORMÁNYZAT!C86</f>
        <v>7430000</v>
      </c>
      <c r="D86" s="55">
        <f>BÖLCSŐDE!D86+FALUHÁZ!D86+ÓVODA!D86+PMH!D86+ÖNKORMÁNYZAT!D86</f>
        <v>101468642</v>
      </c>
      <c r="E86" s="55">
        <f>BÖLCSŐDE!E86+FALUHÁZ!E86+ÓVODA!E86+PMH!E86+ÖNKORMÁNYZAT!E86</f>
        <v>18091542</v>
      </c>
      <c r="F86" s="55">
        <f>BÖLCSŐDE!F86+FALUHÁZ!F86+ÓVODA!F86+PMH!F86+ÖNKORMÁNYZAT!F86</f>
        <v>7474765</v>
      </c>
      <c r="G86" s="55">
        <f>BÖLCSŐDE!G86+FALUHÁZ!G86+ÓVODA!G86+PMH!G86+ÖNKORMÁNYZAT!G86</f>
        <v>0</v>
      </c>
      <c r="H86" s="55">
        <f>BÖLCSŐDE!H86+FALUHÁZ!H86+ÓVODA!H86+PMH!H86+ÖNKORMÁNYZAT!H86</f>
        <v>0</v>
      </c>
      <c r="I86" s="55">
        <f t="shared" si="14"/>
        <v>0</v>
      </c>
      <c r="J86" s="55">
        <v>18091542</v>
      </c>
      <c r="K86" s="55">
        <v>7320200</v>
      </c>
      <c r="L86" s="55">
        <f>BÖLCSŐDE!L86+FALUHÁZ!L86+ÓVODA!L86+PMH!L86+ÖNKORMÁNYZAT!L86</f>
        <v>7320200</v>
      </c>
      <c r="M86" s="1">
        <f t="shared" si="15"/>
        <v>0</v>
      </c>
      <c r="O86" s="55">
        <f>BÖLCSŐDE!O86+FALUHÁZ!N86+ÓVODA!O86+PMH!O86+ÖNKORMÁNYZAT!O86</f>
        <v>0</v>
      </c>
      <c r="P86" s="55">
        <f>BÖLCSŐDE!P86+FALUHÁZ!O86+ÓVODA!P86+PMH!P86+ÖNKORMÁNYZAT!P86</f>
        <v>0</v>
      </c>
      <c r="Q86" s="55">
        <f>BÖLCSŐDE!Q86+FALUHÁZ!P86+ÓVODA!Q86+PMH!Q86+ÖNKORMÁNYZAT!Q86</f>
        <v>0</v>
      </c>
      <c r="R86" s="55">
        <f>BÖLCSŐDE!R86+FALUHÁZ!Q86+ÓVODA!R86+PMH!R86+ÖNKORMÁNYZAT!R86</f>
        <v>6500000</v>
      </c>
      <c r="S86" s="55">
        <f>BÖLCSŐDE!S86+FALUHÁZ!R86+ÓVODA!S86+PMH!S86+ÖNKORMÁNYZAT!S86</f>
        <v>0</v>
      </c>
      <c r="T86" s="55">
        <f>BÖLCSŐDE!T86+FALUHÁZ!S86+ÓVODA!T86+PMH!T86+ÖNKORMÁNYZAT!T86</f>
        <v>0</v>
      </c>
      <c r="U86" s="55">
        <f>BÖLCSŐDE!U86+FALUHÁZ!T86+ÓVODA!U86+PMH!U86+ÖNKORMÁNYZAT!U86</f>
        <v>0</v>
      </c>
      <c r="V86" s="55">
        <f>BÖLCSŐDE!V86+FALUHÁZ!U86+ÓVODA!V86+PMH!V86+ÖNKORMÁNYZAT!V86</f>
        <v>0</v>
      </c>
      <c r="W86" s="55">
        <f>BÖLCSŐDE!W86+FALUHÁZ!V86+ÓVODA!W86+PMH!W86+ÖNKORMÁNYZAT!W86</f>
        <v>0</v>
      </c>
      <c r="X86" s="122"/>
      <c r="AA86" s="55">
        <f>BÖLCSŐDE!AA86+FALUHÁZ!Z86+ÓVODA!AA86+PMH!AA86+ÖNKORMÁNYZAT!AA86</f>
        <v>0</v>
      </c>
      <c r="AB86" s="55">
        <f>BÖLCSŐDE!AB86+FALUHÁZ!AA86+ÓVODA!AB86+PMH!AB86+ÖNKORMÁNYZAT!AB86</f>
        <v>0</v>
      </c>
      <c r="AC86" s="55">
        <f>BÖLCSŐDE!AB86+FALUHÁZ!AA86+ÓVODA!AB86+PMH!AB86+ÖNKORMÁNYZAT!AB86</f>
        <v>0</v>
      </c>
      <c r="AD86" s="55">
        <f>BÖLCSŐDE!AC86+FALUHÁZ!AB86+ÓVODA!AC86+PMH!AC86+ÖNKORMÁNYZAT!AC86</f>
        <v>0</v>
      </c>
      <c r="AE86" s="223">
        <f>BÖLCSŐDE!AE86+FALUHÁZ!AD86+ÓVODA!AE86+PMH!AE86+ÖNKORMÁNYZAT!AD86</f>
        <v>0</v>
      </c>
      <c r="AF86" s="122"/>
      <c r="AG86" s="55">
        <f>BÖLCSŐDE!AG85+FALUHÁZ!AG85+ÓVODA!AG85+PMH!AG85+ÖNKORMÁNYZAT!AG85</f>
        <v>0</v>
      </c>
      <c r="AH86" s="55"/>
      <c r="AI86" s="55">
        <f>BÖLCSŐDE!AI86+FALUHÁZ!AJ86+ÓVODA!AI86+PMH!AI86+ÖNKORMÁNYZAT!AI86</f>
        <v>0</v>
      </c>
      <c r="AJ86" s="55"/>
      <c r="AK86" s="55">
        <f>BÖLCSŐDE!AL86+FALUHÁZ!AK86+ÓVODA!AK86+PMH!AK86+ÖNKORMÁNYZAT!AK86</f>
        <v>0</v>
      </c>
      <c r="AM86" s="55">
        <f>BÖLCSŐDE!AM86+FALUHÁZ!AM86+ÓVODA!AM86+PMH!AM86+ÖNKORMÁNYZAT!AM86</f>
        <v>0</v>
      </c>
      <c r="AN86" s="55">
        <f>BÖLCSŐDE!AN86+FALUHÁZ!AN86+ÓVODA!AP86+PMH!AN86+ÖNKORMÁNYZAT!AP86</f>
        <v>0</v>
      </c>
      <c r="AO86" s="55">
        <f>BÖLCSŐDE!AO86+FALUHÁZ!AO86+ÓVODA!AQ86+PMH!AO86+ÖNKORMÁNYZAT!AQ86</f>
        <v>0</v>
      </c>
      <c r="AP86" s="55">
        <f>BÖLCSŐDE!AP86+FALUHÁZ!AP86+ÓVODA!AP86+PMH!AP86+ÖNKORMÁNYZAT!AP86</f>
        <v>0</v>
      </c>
      <c r="AQ86" s="55">
        <f>BÖLCSŐDE!AQ86+FALUHÁZ!AQ86+ÓVODA!AQ86+PMH!AQ86+ÖNKORMÁNYZAT!AQ86</f>
        <v>0</v>
      </c>
      <c r="AR86" s="55">
        <f t="shared" si="9"/>
        <v>0</v>
      </c>
      <c r="AS86" s="54"/>
      <c r="AT86" s="55">
        <f>BÖLCSŐDE!AT86+FALUHÁZ!AT86+ÓVODA!AT86+PMH!AT86+ÖNKORMÁNYZAT!AT86</f>
        <v>0</v>
      </c>
      <c r="AU86" s="55"/>
      <c r="AV86" s="54"/>
      <c r="AW86" s="55">
        <f>BÖLCSŐDE!AW86+FALUHÁZ!AW86+ÓVODA!AW86+PMH!AW86+ÖNKORMÁNYZAT!AW86</f>
        <v>0</v>
      </c>
      <c r="AX86" s="55">
        <f>BÖLCSŐDE!AX86+FALUHÁZ!AX86+ÓVODA!AX86+PMH!AX86+ÖNKORMÁNYZAT!AX86</f>
        <v>0</v>
      </c>
      <c r="AY86" s="55">
        <f>BÖLCSŐDE!AY86+FALUHÁZ!AY86+ÓVODA!AY86+PMH!AY86+ÖNKORMÁNYZAT!AY86</f>
        <v>0</v>
      </c>
      <c r="AZ86" s="55">
        <f>BÖLCSŐDE!AZ86+FALUHÁZ!AZ86+ÓVODA!AZ86+PMH!AZ86+ÖNKORMÁNYZAT!AZ86</f>
        <v>0</v>
      </c>
      <c r="BA86" s="55">
        <f>BÖLCSŐDE!BA86+FALUHÁZ!BA86+ÓVODA!BA86+PMH!BA86+ÖNKORMÁNYZAT!BA86</f>
        <v>0</v>
      </c>
      <c r="BB86" s="501">
        <f>BÖLCSŐDE!BB86+FALUHÁZ!BB86+ÓVODA!BB86+PMH!BB86+ÖNKORMÁNYZAT!BB86</f>
        <v>0</v>
      </c>
      <c r="BC86" s="501">
        <f>BÖLCSŐDE!BC86+FALUHÁZ!BC86+ÓVODA!BC86+PMH!BC86+ÖNKORMÁNYZAT!BC86</f>
        <v>0</v>
      </c>
      <c r="BD86" s="501">
        <f>BÖLCSŐDE!BD86+FALUHÁZ!BD86+ÓVODA!BD86+PMH!BD86+ÖNKORMÁNYZAT!BD86</f>
        <v>0</v>
      </c>
      <c r="BE86" s="501">
        <f>BÖLCSŐDE!BE86+FALUHÁZ!BE86+ÓVODA!BE86+PMH!BE86+ÖNKORMÁNYZAT!BE86</f>
        <v>0</v>
      </c>
      <c r="BF86" s="501">
        <f>BÖLCSŐDE!BF86+FALUHÁZ!BF86+ÓVODA!BF86+PMH!BF86+ÖNKORMÁNYZAT!BF86</f>
        <v>0</v>
      </c>
      <c r="BG86" s="383">
        <f>BÖLCSŐDE!BG86+FALUHÁZ!BG86+ÓVODA!BG86+PMH!BG86+ÖNKORMÁNYZAT!BG86</f>
        <v>0</v>
      </c>
      <c r="BH86" s="65">
        <f>BÖLCSŐDE!BH86+FALUHÁZ!BH86+ÓVODA!BH86+PMH!BH86+ÖNKORMÁNYZAT!BH86</f>
        <v>0</v>
      </c>
      <c r="BI86" s="65">
        <f>BÖLCSŐDE!BI86+FALUHÁZ!BI86+ÓVODA!BI86+PMH!BI86+ÖNKORMÁNYZAT!BI86</f>
        <v>0</v>
      </c>
      <c r="BJ86" s="65">
        <f>BÖLCSŐDE!BJ86+FALUHÁZ!BJ86+ÓVODA!BJ86+PMH!BJ86+ÖNKORMÁNYZAT!BJ86</f>
        <v>0</v>
      </c>
      <c r="BK86" s="65">
        <f>BÖLCSŐDE!BK86+FALUHÁZ!BK86+ÓVODA!BK86+PMH!BK86+ÖNKORMÁNYZAT!BK86</f>
        <v>0</v>
      </c>
      <c r="BL86" s="65">
        <f>BÖLCSŐDE!BL86+FALUHÁZ!BL86+ÓVODA!BL86+PMH!BL86+ÖNKORMÁNYZAT!BL86</f>
        <v>0</v>
      </c>
      <c r="BM86" s="222">
        <f>BÖLCSŐDE!BM86+FALUHÁZ!BM86+ÓVODA!BM86+PMH!BM86+ÖNKORMÁNYZAT!BM86</f>
        <v>0</v>
      </c>
      <c r="BN86" s="65">
        <f>BÖLCSŐDE!BN86+FALUHÁZ!BN86+ÓVODA!BN86+PMH!BN86+ÖNKORMÁNYZAT!BN86</f>
        <v>0</v>
      </c>
      <c r="BO86" s="65">
        <f>BÖLCSŐDE!BO86+FALUHÁZ!BO86+ÓVODA!BO86+PMH!BO86+ÖNKORMÁNYZAT!BO86</f>
        <v>0</v>
      </c>
      <c r="BP86" s="65">
        <f>BÖLCSŐDE!BP86+FALUHÁZ!BP86+ÓVODA!BP86+PMH!BP86+ÖNKORMÁNYZAT!BP86</f>
        <v>0</v>
      </c>
      <c r="BQ86" s="65">
        <f>BÖLCSŐDE!BQ86+FALUHÁZ!BQ86+ÓVODA!BQ86+PMH!BQ86+ÖNKORMÁNYZAT!BQ86</f>
        <v>0</v>
      </c>
      <c r="BR86" s="65">
        <f>BÖLCSŐDE!BR86+FALUHÁZ!BR86+ÓVODA!BR86+PMH!BR86+ÖNKORMÁNYZAT!BR86</f>
        <v>0</v>
      </c>
      <c r="BS86" s="65">
        <f>BÖLCSŐDE!BS86+FALUHÁZ!BS86+ÓVODA!BS86+PMH!BS86+ÖNKORMÁNYZAT!BS86</f>
        <v>0</v>
      </c>
      <c r="BT86" s="65">
        <f>BÖLCSŐDE!BT86+FALUHÁZ!BT86+ÓVODA!BT86+PMH!BT86+ÖNKORMÁNYZAT!BT86</f>
        <v>0</v>
      </c>
      <c r="BU86" s="65">
        <f>BÖLCSŐDE!BU86+FALUHÁZ!BU86+ÓVODA!BU86+PMH!BU86+ÖNKORMÁNYZAT!BU86</f>
        <v>0</v>
      </c>
      <c r="BV86" s="65">
        <f>BÖLCSŐDE!BV86+FALUHÁZ!BV86+ÓVODA!BV86+PMH!BV86+ÖNKORMÁNYZAT!BV86</f>
        <v>0</v>
      </c>
    </row>
    <row r="87" spans="1:74" x14ac:dyDescent="0.25">
      <c r="A87" s="54" t="s">
        <v>261</v>
      </c>
      <c r="B87" s="55" t="s">
        <v>262</v>
      </c>
      <c r="C87" s="55"/>
      <c r="D87" s="55"/>
      <c r="E87" s="55"/>
      <c r="F87" s="55"/>
      <c r="G87" s="55">
        <f>BÖLCSŐDE!G87+FALUHÁZ!G87+ÓVODA!G87+PMH!G87+ÖNKORMÁNYZAT!G87</f>
        <v>12912005</v>
      </c>
      <c r="H87" s="55">
        <f>BÖLCSŐDE!H87+FALUHÁZ!H87+ÓVODA!H87+PMH!H87+ÖNKORMÁNYZAT!H87</f>
        <v>9774765</v>
      </c>
      <c r="I87" s="55">
        <f t="shared" si="14"/>
        <v>10663380</v>
      </c>
      <c r="J87" s="55">
        <v>0</v>
      </c>
      <c r="K87" s="55">
        <v>0</v>
      </c>
      <c r="L87" s="55">
        <f>BÖLCSŐDE!L87+FALUHÁZ!L87+ÓVODA!L87+PMH!L87+ÖNKORMÁNYZAT!L87</f>
        <v>0</v>
      </c>
      <c r="M87" s="1">
        <f t="shared" si="15"/>
        <v>0</v>
      </c>
      <c r="O87" s="55">
        <f>BÖLCSŐDE!O87+FALUHÁZ!N87+ÓVODA!O87+PMH!O87+ÖNKORMÁNYZAT!O87</f>
        <v>19346200</v>
      </c>
      <c r="P87" s="55">
        <f>BÖLCSŐDE!P87+FALUHÁZ!O87+ÓVODA!P87+PMH!P87+ÖNKORMÁNYZAT!P87</f>
        <v>16055770</v>
      </c>
      <c r="Q87" s="55">
        <f>BÖLCSŐDE!Q87+FALUHÁZ!P87+ÓVODA!Q87+PMH!Q87+ÖNKORMÁNYZAT!Q87</f>
        <v>18156185</v>
      </c>
      <c r="R87" s="55">
        <f>BÖLCSŐDE!R87+FALUHÁZ!Q87+ÓVODA!R87+PMH!R87+ÖNKORMÁNYZAT!R87</f>
        <v>7320200</v>
      </c>
      <c r="S87" s="55">
        <f>BÖLCSŐDE!S87+FALUHÁZ!R87+ÓVODA!S87+PMH!S87+ÖNKORMÁNYZAT!S87</f>
        <v>20746200</v>
      </c>
      <c r="T87" s="55">
        <f>BÖLCSŐDE!T87+FALUHÁZ!S87+ÓVODA!T87+PMH!T87+ÖNKORMÁNYZAT!T87</f>
        <v>19895161</v>
      </c>
      <c r="U87" s="55">
        <f>BÖLCSŐDE!U87+FALUHÁZ!T87+ÓVODA!U87+PMH!U87+ÖNKORMÁNYZAT!U87</f>
        <v>18003440</v>
      </c>
      <c r="V87" s="55">
        <f>BÖLCSŐDE!V87+FALUHÁZ!U87+ÓVODA!V87+PMH!V87+ÖNKORMÁNYZAT!V87</f>
        <v>18003440</v>
      </c>
      <c r="W87" s="55">
        <f>BÖLCSŐDE!W87+FALUHÁZ!V87+ÓVODA!W87+PMH!W87+ÖNKORMÁNYZAT!W87</f>
        <v>18003440</v>
      </c>
      <c r="X87" s="122">
        <f t="shared" si="16"/>
        <v>110.50755300098203</v>
      </c>
      <c r="AA87" s="55">
        <f>BÖLCSŐDE!AA87+FALUHÁZ!Z87+ÓVODA!AA87+PMH!AA87+ÖNKORMÁNYZAT!AA87</f>
        <v>14703440</v>
      </c>
      <c r="AB87" s="55">
        <f>BÖLCSŐDE!AB87+FALUHÁZ!AA87+ÓVODA!AB87+PMH!AB87+ÖNKORMÁNYZAT!AB87</f>
        <v>16656917</v>
      </c>
      <c r="AC87" s="55">
        <f>BÖLCSŐDE!AB87+FALUHÁZ!AA87+ÓVODA!AB87+PMH!AB87+ÖNKORMÁNYZAT!AB87</f>
        <v>16656917</v>
      </c>
      <c r="AD87" s="55">
        <f>BÖLCSŐDE!AC87+FALUHÁZ!AB87+ÓVODA!AC87+PMH!AC87+ÖNKORMÁNYZAT!AC87</f>
        <v>17644617</v>
      </c>
      <c r="AE87" s="223">
        <f>BÖLCSŐDE!AE87+FALUHÁZ!AD87+ÓVODA!AE87+PMH!AE87+ÖNKORMÁNYZAT!AD87</f>
        <v>17785417</v>
      </c>
      <c r="AF87" s="122">
        <f t="shared" si="13"/>
        <v>120.00332575234094</v>
      </c>
      <c r="AG87" s="55">
        <f>BÖLCSŐDE!AG86+FALUHÁZ!AG86+ÓVODA!AG86+PMH!AG86+ÖNKORMÁNYZAT!AG86</f>
        <v>0</v>
      </c>
      <c r="AH87" s="55"/>
      <c r="AI87" s="55">
        <f>BÖLCSŐDE!AI87+FALUHÁZ!AJ87+ÓVODA!AI87+PMH!AI87+ÖNKORMÁNYZAT!AI87</f>
        <v>21769350.408</v>
      </c>
      <c r="AJ87" s="55"/>
      <c r="AK87" s="55">
        <f>BÖLCSŐDE!AL87+FALUHÁZ!AK87+ÓVODA!AK87+PMH!AK87+ÖNKORMÁNYZAT!AK87</f>
        <v>21769350.408</v>
      </c>
      <c r="AM87" s="55">
        <f>BÖLCSŐDE!AM87+FALUHÁZ!AM87+ÓVODA!AM87+PMH!AM87+ÖNKORMÁNYZAT!AM87</f>
        <v>24468790</v>
      </c>
      <c r="AN87" s="55">
        <f>BÖLCSŐDE!AN87+FALUHÁZ!AN87+ÓVODA!AP87+PMH!AN87+ÖNKORMÁNYZAT!AP87</f>
        <v>19231639</v>
      </c>
      <c r="AO87" s="55">
        <f>BÖLCSŐDE!AO87+FALUHÁZ!AO87+ÓVODA!AQ87+PMH!AO87+ÖNKORMÁNYZAT!AQ87</f>
        <v>16927550</v>
      </c>
      <c r="AP87" s="55">
        <f>BÖLCSŐDE!AP87+FALUHÁZ!AP87+ÓVODA!AP87+PMH!AP87+ÖNKORMÁNYZAT!AP87</f>
        <v>19231639</v>
      </c>
      <c r="AQ87" s="55">
        <f>BÖLCSŐDE!AQ87+FALUHÁZ!AQ87+ÓVODA!AQ87+PMH!AQ87+ÖNKORMÁNYZAT!AQ87</f>
        <v>16927550</v>
      </c>
      <c r="AR87" s="55">
        <f t="shared" si="9"/>
        <v>2304089</v>
      </c>
      <c r="AS87" s="54">
        <f t="shared" si="10"/>
        <v>88.019279064046501</v>
      </c>
      <c r="AT87" s="55">
        <f>BÖLCSŐDE!AT87+FALUHÁZ!AT87+ÓVODA!AT87+PMH!AT87+ÖNKORMÁNYZAT!AT87</f>
        <v>18845520</v>
      </c>
      <c r="AU87" s="55">
        <f t="shared" si="11"/>
        <v>386119</v>
      </c>
      <c r="AV87" s="54">
        <f t="shared" si="12"/>
        <v>2.007727994478266</v>
      </c>
      <c r="AW87" s="55">
        <f>BÖLCSŐDE!AW87+FALUHÁZ!AW87+ÓVODA!AW87+PMH!AW87+ÖNKORMÁNYZAT!AW87</f>
        <v>21769350</v>
      </c>
      <c r="AX87" s="55">
        <f>BÖLCSŐDE!AX87+FALUHÁZ!AX87+ÓVODA!AX87+PMH!AX87+ÖNKORMÁNYZAT!AX87</f>
        <v>21769350</v>
      </c>
      <c r="AY87" s="55">
        <f>BÖLCSŐDE!AY87+FALUHÁZ!AY87+ÓVODA!AY87+PMH!AY87+ÖNKORMÁNYZAT!AY87</f>
        <v>15353440</v>
      </c>
      <c r="AZ87" s="55">
        <f>BÖLCSŐDE!AZ87+FALUHÁZ!AZ87+ÓVODA!AZ87+PMH!AZ87+ÖNKORMÁNYZAT!AZ87</f>
        <v>15353440</v>
      </c>
      <c r="BA87" s="55">
        <f>BÖLCSŐDE!BA87+FALUHÁZ!BA87+ÓVODA!BA87+PMH!BA87+ÖNKORMÁNYZAT!BA87</f>
        <v>15353440</v>
      </c>
      <c r="BB87" s="501">
        <f>BÖLCSŐDE!BB87+FALUHÁZ!BB87+ÓVODA!BB87+PMH!BB87+ÖNKORMÁNYZAT!BB87</f>
        <v>15353440</v>
      </c>
      <c r="BC87" s="501">
        <f>BÖLCSŐDE!BC87+FALUHÁZ!BC87+ÓVODA!BC87+PMH!BC87+ÖNKORMÁNYZAT!BC87</f>
        <v>14335465</v>
      </c>
      <c r="BD87" s="501">
        <f>BÖLCSŐDE!BD87+FALUHÁZ!BD87+ÓVODA!BD87+PMH!BD87+ÖNKORMÁNYZAT!BD87</f>
        <v>2777434</v>
      </c>
      <c r="BE87" s="501">
        <f>BÖLCSŐDE!BE87+FALUHÁZ!BE87+ÓVODA!BE87+PMH!BE87+ÖNKORMÁNYZAT!BE87</f>
        <v>14866477</v>
      </c>
      <c r="BF87" s="501">
        <f>BÖLCSŐDE!BF87+FALUHÁZ!BF87+ÓVODA!BF87+PMH!BF87+ÖNKORMÁNYZAT!BF87</f>
        <v>18919609</v>
      </c>
      <c r="BG87" s="383">
        <f>BÖLCSŐDE!BG87+FALUHÁZ!BG87+ÓVODA!BG87+PMH!BG87+ÖNKORMÁNYZAT!BG87</f>
        <v>22173530.799999997</v>
      </c>
      <c r="BH87" s="65">
        <f>BÖLCSŐDE!BH87+FALUHÁZ!BH87+ÓVODA!BH87+PMH!BH87+ÖNKORMÁNYZAT!BH87</f>
        <v>14953440</v>
      </c>
      <c r="BI87" s="65">
        <f>BÖLCSŐDE!BI87+FALUHÁZ!BI87+ÓVODA!BI87+PMH!BI87+ÖNKORMÁNYZAT!BI87</f>
        <v>14953440</v>
      </c>
      <c r="BJ87" s="65">
        <f>BÖLCSŐDE!BJ87+FALUHÁZ!BJ87+ÓVODA!BJ87+PMH!BJ87+ÖNKORMÁNYZAT!BJ87</f>
        <v>5859705</v>
      </c>
      <c r="BK87" s="65">
        <f>BÖLCSŐDE!BK87+FALUHÁZ!BK87+ÓVODA!BK87+PMH!BK87+ÖNKORMÁNYZAT!BK87</f>
        <v>14837404</v>
      </c>
      <c r="BL87" s="65">
        <f>BÖLCSŐDE!BL87+FALUHÁZ!BL87+ÓVODA!BL87+PMH!BL87+ÖNKORMÁNYZAT!BL87</f>
        <v>17804884.799999997</v>
      </c>
      <c r="BM87" s="222">
        <f>BÖLCSŐDE!BM87+FALUHÁZ!BM87+ÓVODA!BM87+PMH!BM87+ÖNKORMÁNYZAT!BM87</f>
        <v>10100000</v>
      </c>
      <c r="BN87" s="65">
        <f>BÖLCSŐDE!BN87+FALUHÁZ!BN87+ÓVODA!BN87+PMH!BN87+ÖNKORMÁNYZAT!BN87</f>
        <v>10100000</v>
      </c>
      <c r="BO87" s="65">
        <f>BÖLCSŐDE!BO87+FALUHÁZ!BO87+ÓVODA!BO87+PMH!BO87+ÖNKORMÁNYZAT!BO87</f>
        <v>8095592</v>
      </c>
      <c r="BP87" s="65">
        <f>BÖLCSŐDE!BP87+FALUHÁZ!BP87+ÓVODA!BP87+PMH!BP87+ÖNKORMÁNYZAT!BP87</f>
        <v>9714710.3999999985</v>
      </c>
      <c r="BQ87" s="65">
        <f>BÖLCSŐDE!BQ87+FALUHÁZ!BQ87+ÓVODA!BQ87+PMH!BQ87+ÖNKORMÁNYZAT!BQ87</f>
        <v>10000000</v>
      </c>
      <c r="BR87" s="65">
        <f>BÖLCSŐDE!BR87+FALUHÁZ!BR87+ÓVODA!BR87+PMH!BR87+ÖNKORMÁNYZAT!BR87</f>
        <v>10000000</v>
      </c>
      <c r="BS87" s="65">
        <f>BÖLCSŐDE!BS87+FALUHÁZ!BS87+ÓVODA!BS87+PMH!BS87+ÖNKORMÁNYZAT!BS87</f>
        <v>10000000</v>
      </c>
      <c r="BT87" s="65">
        <f>BÖLCSŐDE!BT87+FALUHÁZ!BT87+ÓVODA!BT87+PMH!BT87+ÖNKORMÁNYZAT!BT87</f>
        <v>8000000</v>
      </c>
      <c r="BU87" s="65">
        <f>BÖLCSŐDE!BU87+FALUHÁZ!BU87+ÓVODA!BU87+PMH!BU87+ÖNKORMÁNYZAT!BU87</f>
        <v>0</v>
      </c>
      <c r="BV87" s="65">
        <f>BÖLCSŐDE!BV87+FALUHÁZ!BV87+ÓVODA!BV87+PMH!BV87+ÖNKORMÁNYZAT!BV87</f>
        <v>8000000</v>
      </c>
    </row>
    <row r="88" spans="1:74" x14ac:dyDescent="0.25">
      <c r="A88" s="54" t="s">
        <v>63</v>
      </c>
      <c r="B88" s="55" t="s">
        <v>167</v>
      </c>
      <c r="C88" s="55">
        <f>BÖLCSŐDE!C88+FALUHÁZ!C88+ÓVODA!C88+PMH!C88+ÖNKORMÁNYZAT!C88</f>
        <v>46008000</v>
      </c>
      <c r="D88" s="55">
        <f>BÖLCSŐDE!D88+FALUHÁZ!D88+ÓVODA!D88+PMH!D88+ÖNKORMÁNYZAT!D88</f>
        <v>9495492</v>
      </c>
      <c r="E88" s="55">
        <f>BÖLCSŐDE!E88+FALUHÁZ!E88+ÓVODA!E88+PMH!E88+ÖNKORMÁNYZAT!E88</f>
        <v>0</v>
      </c>
      <c r="F88" s="55">
        <f>BÖLCSŐDE!F88+FALUHÁZ!F88+ÓVODA!F88+PMH!F88+ÖNKORMÁNYZAT!F88</f>
        <v>0</v>
      </c>
      <c r="G88" s="55">
        <f>BÖLCSŐDE!G88+FALUHÁZ!G88+ÓVODA!G88+PMH!G88+ÖNKORMÁNYZAT!G88</f>
        <v>46188962</v>
      </c>
      <c r="H88" s="55">
        <f>BÖLCSŐDE!H88+FALUHÁZ!H88+ÓVODA!H88+PMH!H88+ÖNKORMÁNYZAT!H88</f>
        <v>0</v>
      </c>
      <c r="I88" s="55">
        <f t="shared" si="14"/>
        <v>0</v>
      </c>
      <c r="J88" s="55">
        <v>0</v>
      </c>
      <c r="K88" s="55">
        <v>0</v>
      </c>
      <c r="L88" s="55">
        <f>BÖLCSŐDE!L88+FALUHÁZ!L88+ÓVODA!L88+PMH!L88+ÖNKORMÁNYZAT!L88</f>
        <v>0</v>
      </c>
      <c r="M88" s="1">
        <f t="shared" si="15"/>
        <v>0</v>
      </c>
      <c r="O88" s="55">
        <f>BÖLCSŐDE!O88+FALUHÁZ!N88+ÓVODA!O88+PMH!O88+ÖNKORMÁNYZAT!O88</f>
        <v>49764538</v>
      </c>
      <c r="P88" s="55">
        <f>BÖLCSŐDE!P88+FALUHÁZ!O88+ÓVODA!P88+PMH!P88+ÖNKORMÁNYZAT!P88</f>
        <v>0</v>
      </c>
      <c r="Q88" s="55">
        <f>BÖLCSŐDE!Q88+FALUHÁZ!P88+ÓVODA!Q88+PMH!Q88+ÖNKORMÁNYZAT!Q88</f>
        <v>0</v>
      </c>
      <c r="R88" s="55">
        <f>BÖLCSŐDE!R88+FALUHÁZ!Q88+ÓVODA!R88+PMH!R88+ÖNKORMÁNYZAT!R88</f>
        <v>0</v>
      </c>
      <c r="S88" s="55">
        <f>BÖLCSŐDE!S88+FALUHÁZ!R88+ÓVODA!S88+PMH!S88+ÖNKORMÁNYZAT!S88</f>
        <v>50419446</v>
      </c>
      <c r="T88" s="55">
        <f>BÖLCSŐDE!T88+FALUHÁZ!S88+ÓVODA!T88+PMH!T88+ÖNKORMÁNYZAT!T88</f>
        <v>0</v>
      </c>
      <c r="U88" s="55">
        <f>BÖLCSŐDE!U88+FALUHÁZ!T88+ÓVODA!U88+PMH!U88+ÖNKORMÁNYZAT!U88</f>
        <v>0</v>
      </c>
      <c r="V88" s="55">
        <f>BÖLCSŐDE!V88+FALUHÁZ!U88+ÓVODA!V88+PMH!V88+ÖNKORMÁNYZAT!V88</f>
        <v>0</v>
      </c>
      <c r="W88" s="55">
        <f>BÖLCSŐDE!W88+FALUHÁZ!V88+ÓVODA!W88+PMH!W88+ÖNKORMÁNYZAT!W88</f>
        <v>0</v>
      </c>
      <c r="X88" s="122"/>
      <c r="AA88" s="55">
        <f>BÖLCSŐDE!AA88+FALUHÁZ!Z88+ÓVODA!AA88+PMH!AA88+ÖNKORMÁNYZAT!AA88</f>
        <v>35645652</v>
      </c>
      <c r="AB88" s="55">
        <f>BÖLCSŐDE!AB88+FALUHÁZ!AA88+ÓVODA!AB88+PMH!AB88+ÖNKORMÁNYZAT!AB88</f>
        <v>0</v>
      </c>
      <c r="AC88" s="55">
        <f>BÖLCSŐDE!AB88+FALUHÁZ!AA88+ÓVODA!AB88+PMH!AB88+ÖNKORMÁNYZAT!AB88</f>
        <v>0</v>
      </c>
      <c r="AD88" s="55">
        <f>BÖLCSŐDE!AC88+FALUHÁZ!AB88+ÓVODA!AC88+PMH!AC88+ÖNKORMÁNYZAT!AC88</f>
        <v>0</v>
      </c>
      <c r="AE88" s="223">
        <f>BÖLCSŐDE!AE88+FALUHÁZ!AD88+ÓVODA!AE88+PMH!AE88+ÖNKORMÁNYZAT!AD88</f>
        <v>0</v>
      </c>
      <c r="AF88" s="122">
        <f t="shared" si="13"/>
        <v>0</v>
      </c>
      <c r="AG88" s="55">
        <f>BÖLCSŐDE!AG87+FALUHÁZ!AG87+ÓVODA!AG87+PMH!AG87+ÖNKORMÁNYZAT!AG87</f>
        <v>17785417</v>
      </c>
      <c r="AH88" s="55"/>
      <c r="AI88" s="55">
        <f>BÖLCSŐDE!AI88+FALUHÁZ!AJ88+ÓVODA!AI88+PMH!AI88+ÖNKORMÁNYZAT!AI88</f>
        <v>0</v>
      </c>
      <c r="AJ88" s="55"/>
      <c r="AK88" s="55">
        <f>BÖLCSŐDE!AL88+FALUHÁZ!AK88+ÓVODA!AK88+PMH!AK88+ÖNKORMÁNYZAT!AK88</f>
        <v>0</v>
      </c>
      <c r="AM88" s="55">
        <f>BÖLCSŐDE!AM88+FALUHÁZ!AM88+ÓVODA!AM88+PMH!AM88+ÖNKORMÁNYZAT!AM88</f>
        <v>0</v>
      </c>
      <c r="AN88" s="55">
        <f>BÖLCSŐDE!AN88+FALUHÁZ!AN88+ÓVODA!AP88+PMH!AN88+ÖNKORMÁNYZAT!AP88</f>
        <v>3619105</v>
      </c>
      <c r="AO88" s="55">
        <f>BÖLCSŐDE!AO88+FALUHÁZ!AO88+ÓVODA!AQ88+PMH!AO88+ÖNKORMÁNYZAT!AQ88</f>
        <v>0</v>
      </c>
      <c r="AP88" s="55">
        <f>BÖLCSŐDE!AP88+FALUHÁZ!AP88+ÓVODA!AP88+PMH!AP88+ÖNKORMÁNYZAT!AP88</f>
        <v>3619105</v>
      </c>
      <c r="AQ88" s="55">
        <f>BÖLCSŐDE!AQ88+FALUHÁZ!AQ88+ÓVODA!AQ88+PMH!AQ88+ÖNKORMÁNYZAT!AQ88</f>
        <v>0</v>
      </c>
      <c r="AR88" s="55">
        <f t="shared" si="9"/>
        <v>3619105</v>
      </c>
      <c r="AS88" s="54">
        <f t="shared" si="10"/>
        <v>0</v>
      </c>
      <c r="AT88" s="55">
        <f>BÖLCSŐDE!AT88+FALUHÁZ!AT88+ÓVODA!AT88+PMH!AT88+ÖNKORMÁNYZAT!AT88</f>
        <v>0</v>
      </c>
      <c r="AU88" s="55">
        <f t="shared" si="11"/>
        <v>3619105</v>
      </c>
      <c r="AV88" s="54">
        <f t="shared" si="12"/>
        <v>100</v>
      </c>
      <c r="AW88" s="55">
        <f>BÖLCSŐDE!AW88+FALUHÁZ!AW88+ÓVODA!AW88+PMH!AW88+ÖNKORMÁNYZAT!AW88</f>
        <v>41573673</v>
      </c>
      <c r="AX88" s="55">
        <f>BÖLCSŐDE!AX88+FALUHÁZ!AX88+ÓVODA!AX88+PMH!AX88+ÖNKORMÁNYZAT!AX88</f>
        <v>0</v>
      </c>
      <c r="AY88" s="55">
        <f>BÖLCSŐDE!AY88+FALUHÁZ!AY88+ÓVODA!AY88+PMH!AY88+ÖNKORMÁNYZAT!AY88</f>
        <v>0</v>
      </c>
      <c r="AZ88" s="55">
        <f>BÖLCSŐDE!AZ88+FALUHÁZ!AZ88+ÓVODA!AZ88+PMH!AZ88+ÖNKORMÁNYZAT!AZ88</f>
        <v>0</v>
      </c>
      <c r="BA88" s="55">
        <f>BÖLCSŐDE!BA88+FALUHÁZ!BA88+ÓVODA!BA88+PMH!BA88+ÖNKORMÁNYZAT!BA88</f>
        <v>0</v>
      </c>
      <c r="BB88" s="501">
        <f>BÖLCSŐDE!BB88+FALUHÁZ!BB88+ÓVODA!BB88+PMH!BB88+ÖNKORMÁNYZAT!BB88</f>
        <v>16754917</v>
      </c>
      <c r="BC88" s="501">
        <f>BÖLCSŐDE!BC88+FALUHÁZ!BC88+ÓVODA!BC88+PMH!BC88+ÖNKORMÁNYZAT!BC88</f>
        <v>77506936</v>
      </c>
      <c r="BD88" s="501">
        <f>BÖLCSŐDE!BD88+FALUHÁZ!BD88+ÓVODA!BD88+PMH!BD88+ÖNKORMÁNYZAT!BD88</f>
        <v>0</v>
      </c>
      <c r="BE88" s="501">
        <f>BÖLCSŐDE!BE88+FALUHÁZ!BE88+ÓVODA!BE88+PMH!BE88+ÖNKORMÁNYZAT!BE88</f>
        <v>0</v>
      </c>
      <c r="BF88" s="501">
        <f>BÖLCSŐDE!BF88+FALUHÁZ!BF88+ÓVODA!BF88+PMH!BF88+ÖNKORMÁNYZAT!BF88</f>
        <v>0</v>
      </c>
      <c r="BG88" s="383">
        <f>BÖLCSŐDE!BG88+FALUHÁZ!BG88+ÓVODA!BG88+PMH!BG88+ÖNKORMÁNYZAT!BG88</f>
        <v>0</v>
      </c>
      <c r="BH88" s="65">
        <f>BÖLCSŐDE!BH88+FALUHÁZ!BH88+ÓVODA!BH88+PMH!BH88+ÖNKORMÁNYZAT!BH88</f>
        <v>15055959</v>
      </c>
      <c r="BI88" s="65">
        <f>BÖLCSŐDE!BI88+FALUHÁZ!BI88+ÓVODA!BI88+PMH!BI88+ÖNKORMÁNYZAT!BI88</f>
        <v>11153350</v>
      </c>
      <c r="BJ88" s="65">
        <f>BÖLCSŐDE!BJ88+FALUHÁZ!BJ88+ÓVODA!BJ88+PMH!BJ88+ÖNKORMÁNYZAT!BJ88</f>
        <v>0</v>
      </c>
      <c r="BK88" s="65">
        <f>BÖLCSŐDE!BK88+FALUHÁZ!BK88+ÓVODA!BK88+PMH!BK88+ÖNKORMÁNYZAT!BK88</f>
        <v>0</v>
      </c>
      <c r="BL88" s="65">
        <f>BÖLCSŐDE!BL88+FALUHÁZ!BL88+ÓVODA!BL88+PMH!BL88+ÖNKORMÁNYZAT!BL88</f>
        <v>0</v>
      </c>
      <c r="BM88" s="222">
        <f>BÖLCSŐDE!BM88+FALUHÁZ!BM88+ÓVODA!BM88+PMH!BM88+ÖNKORMÁNYZAT!BM88</f>
        <v>0</v>
      </c>
      <c r="BN88" s="65">
        <f>BÖLCSŐDE!BN88+FALUHÁZ!BN88+ÓVODA!BN88+PMH!BN88+ÖNKORMÁNYZAT!BN88</f>
        <v>13726079</v>
      </c>
      <c r="BO88" s="65">
        <f>BÖLCSŐDE!BO88+FALUHÁZ!BO88+ÓVODA!BO88+PMH!BO88+ÖNKORMÁNYZAT!BO88</f>
        <v>0</v>
      </c>
      <c r="BP88" s="65">
        <f>BÖLCSŐDE!BP88+FALUHÁZ!BP88+ÓVODA!BP88+PMH!BP88+ÖNKORMÁNYZAT!BP88</f>
        <v>0</v>
      </c>
      <c r="BQ88" s="65">
        <f>BÖLCSŐDE!BQ88+FALUHÁZ!BQ88+ÓVODA!BQ88+PMH!BQ88+ÖNKORMÁNYZAT!BQ88</f>
        <v>0</v>
      </c>
      <c r="BR88" s="65">
        <f>BÖLCSŐDE!BR88+FALUHÁZ!BR88+ÓVODA!BR88+PMH!BR88+ÖNKORMÁNYZAT!BR88</f>
        <v>0</v>
      </c>
      <c r="BS88" s="65">
        <f>BÖLCSŐDE!BS88+FALUHÁZ!BS88+ÓVODA!BS88+PMH!BS88+ÖNKORMÁNYZAT!BS88</f>
        <v>0</v>
      </c>
      <c r="BT88" s="65">
        <f>BÖLCSŐDE!BT88+FALUHÁZ!BT88+ÓVODA!BT88+PMH!BT88+ÖNKORMÁNYZAT!BT88</f>
        <v>0</v>
      </c>
      <c r="BU88" s="65">
        <f>BÖLCSŐDE!BU88+FALUHÁZ!BU88+ÓVODA!BU88+PMH!BU88+ÖNKORMÁNYZAT!BU88</f>
        <v>1751130</v>
      </c>
      <c r="BV88" s="332">
        <f>BÖLCSŐDE!BV88+FALUHÁZ!BV88+ÓVODA!BV88+PMH!BV88+ÖNKORMÁNYZAT!BV88</f>
        <v>0</v>
      </c>
    </row>
    <row r="89" spans="1:74" x14ac:dyDescent="0.25">
      <c r="A89" s="54" t="s">
        <v>64</v>
      </c>
      <c r="B89" s="58" t="s">
        <v>204</v>
      </c>
      <c r="C89" s="55">
        <f>BÖLCSŐDE!C89+FALUHÁZ!C89+ÓVODA!C89+PMH!C89+ÖNKORMÁNYZAT!C89</f>
        <v>0</v>
      </c>
      <c r="D89" s="55">
        <f>BÖLCSŐDE!D89+FALUHÁZ!D89+ÓVODA!D89+PMH!D89+ÖNKORMÁNYZAT!D89</f>
        <v>260000</v>
      </c>
      <c r="E89" s="55">
        <f>BÖLCSŐDE!E89+FALUHÁZ!E89+ÓVODA!E89+PMH!E89+ÖNKORMÁNYZAT!E89</f>
        <v>0</v>
      </c>
      <c r="F89" s="55">
        <f>BÖLCSŐDE!F89+FALUHÁZ!F89+ÓVODA!F89+PMH!F89+ÖNKORMÁNYZAT!F89</f>
        <v>50000</v>
      </c>
      <c r="G89" s="55">
        <f>BÖLCSŐDE!G89+FALUHÁZ!G89+ÓVODA!G89+PMH!G89+ÖNKORMÁNYZAT!G89</f>
        <v>50000</v>
      </c>
      <c r="H89" s="55">
        <f>BÖLCSŐDE!H89+FALUHÁZ!H89+ÓVODA!H89+PMH!H89+ÖNKORMÁNYZAT!H89</f>
        <v>50000</v>
      </c>
      <c r="I89" s="55">
        <f t="shared" si="14"/>
        <v>54545.454545454544</v>
      </c>
      <c r="J89" s="55">
        <v>0</v>
      </c>
      <c r="K89" s="55">
        <v>0</v>
      </c>
      <c r="L89" s="55">
        <f>BÖLCSŐDE!L89+FALUHÁZ!L89+ÓVODA!L89+PMH!L89+ÖNKORMÁNYZAT!L89</f>
        <v>0</v>
      </c>
      <c r="M89" s="1">
        <f t="shared" si="15"/>
        <v>0</v>
      </c>
      <c r="O89" s="55">
        <f>BÖLCSŐDE!O89+FALUHÁZ!N89+ÓVODA!O89+PMH!O89+ÖNKORMÁNYZAT!O89</f>
        <v>0</v>
      </c>
      <c r="P89" s="55">
        <f>BÖLCSŐDE!P89+FALUHÁZ!O89+ÓVODA!P89+PMH!P89+ÖNKORMÁNYZAT!P89</f>
        <v>0</v>
      </c>
      <c r="Q89" s="55">
        <f>BÖLCSŐDE!Q89+FALUHÁZ!P89+ÓVODA!Q89+PMH!Q89+ÖNKORMÁNYZAT!Q89</f>
        <v>0</v>
      </c>
      <c r="R89" s="55">
        <f>BÖLCSŐDE!R89+FALUHÁZ!Q89+ÓVODA!R89+PMH!R89+ÖNKORMÁNYZAT!R89</f>
        <v>0</v>
      </c>
      <c r="S89" s="55">
        <f>BÖLCSŐDE!S89+FALUHÁZ!R89+ÓVODA!S89+PMH!S89+ÖNKORMÁNYZAT!S89</f>
        <v>0</v>
      </c>
      <c r="T89" s="55">
        <f>BÖLCSŐDE!T89+FALUHÁZ!S89+ÓVODA!T89+PMH!T89+ÖNKORMÁNYZAT!T89</f>
        <v>0</v>
      </c>
      <c r="U89" s="55">
        <f>BÖLCSŐDE!U89+FALUHÁZ!T89+ÓVODA!U89+PMH!U89+ÖNKORMÁNYZAT!U89</f>
        <v>0</v>
      </c>
      <c r="V89" s="55">
        <f>BÖLCSŐDE!V89+FALUHÁZ!U89+ÓVODA!V89+PMH!V89+ÖNKORMÁNYZAT!V89</f>
        <v>0</v>
      </c>
      <c r="W89" s="55">
        <f>BÖLCSŐDE!W89+FALUHÁZ!V89+ÓVODA!W89+PMH!W89+ÖNKORMÁNYZAT!W89</f>
        <v>0</v>
      </c>
      <c r="X89" s="122"/>
      <c r="AA89" s="55">
        <f>BÖLCSŐDE!AA89+FALUHÁZ!Z89+ÓVODA!AA89+PMH!AA89+ÖNKORMÁNYZAT!AA89</f>
        <v>0</v>
      </c>
      <c r="AB89" s="55">
        <f>BÖLCSŐDE!AB89+FALUHÁZ!AA89+ÓVODA!AB89+PMH!AB89+ÖNKORMÁNYZAT!AB89</f>
        <v>0</v>
      </c>
      <c r="AC89" s="55">
        <f>BÖLCSŐDE!AB89+FALUHÁZ!AA89+ÓVODA!AB89+PMH!AB89+ÖNKORMÁNYZAT!AB89</f>
        <v>0</v>
      </c>
      <c r="AD89" s="55">
        <f>BÖLCSŐDE!AC89+FALUHÁZ!AB89+ÓVODA!AC89+PMH!AC89+ÖNKORMÁNYZAT!AC89</f>
        <v>0</v>
      </c>
      <c r="AE89" s="223">
        <f>BÖLCSŐDE!AE89+FALUHÁZ!AD89+ÓVODA!AE89+PMH!AE89+ÖNKORMÁNYZAT!AD89</f>
        <v>0</v>
      </c>
      <c r="AF89" s="122"/>
      <c r="AG89" s="55">
        <f>BÖLCSŐDE!AG88+FALUHÁZ!AG88+ÓVODA!AG88+PMH!AG88+ÖNKORMÁNYZAT!AG88</f>
        <v>0</v>
      </c>
      <c r="AH89" s="55"/>
      <c r="AI89" s="55">
        <f>BÖLCSŐDE!AI89+FALUHÁZ!AJ89+ÓVODA!AI89+PMH!AI89+ÖNKORMÁNYZAT!AI89</f>
        <v>0</v>
      </c>
      <c r="AJ89" s="55"/>
      <c r="AK89" s="55">
        <f>BÖLCSŐDE!AL89+FALUHÁZ!AK89+ÓVODA!AK89+PMH!AK89+ÖNKORMÁNYZAT!AK89</f>
        <v>0</v>
      </c>
      <c r="AM89" s="55">
        <f>BÖLCSŐDE!AM89+FALUHÁZ!AM89+ÓVODA!AM89+PMH!AM89+ÖNKORMÁNYZAT!AM89</f>
        <v>0</v>
      </c>
      <c r="AN89" s="55">
        <f>BÖLCSŐDE!AN89+FALUHÁZ!AN89+ÓVODA!AP89+PMH!AN89+ÖNKORMÁNYZAT!AP89</f>
        <v>0</v>
      </c>
      <c r="AO89" s="55">
        <f>BÖLCSŐDE!AO89+FALUHÁZ!AO89+ÓVODA!AQ89+PMH!AO89+ÖNKORMÁNYZAT!AQ89</f>
        <v>0</v>
      </c>
      <c r="AP89" s="55">
        <f>BÖLCSŐDE!AP89+FALUHÁZ!AP89+ÓVODA!AP89+PMH!AP89+ÖNKORMÁNYZAT!AP89</f>
        <v>0</v>
      </c>
      <c r="AQ89" s="55">
        <f>BÖLCSŐDE!AQ89+FALUHÁZ!AQ89+ÓVODA!AQ89+PMH!AQ89+ÖNKORMÁNYZAT!AQ89</f>
        <v>0</v>
      </c>
      <c r="AR89" s="55">
        <f t="shared" si="9"/>
        <v>0</v>
      </c>
      <c r="AS89" s="54"/>
      <c r="AT89" s="55">
        <f>BÖLCSŐDE!AT89+FALUHÁZ!AT89+ÓVODA!AT89+PMH!AT89+ÖNKORMÁNYZAT!AT89</f>
        <v>0</v>
      </c>
      <c r="AU89" s="55"/>
      <c r="AV89" s="54"/>
      <c r="AW89" s="55">
        <f>BÖLCSŐDE!AW89+FALUHÁZ!AW89+ÓVODA!AW89+PMH!AW89+ÖNKORMÁNYZAT!AW89</f>
        <v>0</v>
      </c>
      <c r="AX89" s="55">
        <f>BÖLCSŐDE!AX89+FALUHÁZ!AX89+ÓVODA!AX89+PMH!AX89+ÖNKORMÁNYZAT!AX89</f>
        <v>0</v>
      </c>
      <c r="AY89" s="55">
        <f>BÖLCSŐDE!AY89+FALUHÁZ!AY89+ÓVODA!AY89+PMH!AY89+ÖNKORMÁNYZAT!AY89</f>
        <v>0</v>
      </c>
      <c r="AZ89" s="55">
        <f>BÖLCSŐDE!AZ89+FALUHÁZ!AZ89+ÓVODA!AZ89+PMH!AZ89+ÖNKORMÁNYZAT!AZ89</f>
        <v>0</v>
      </c>
      <c r="BA89" s="55">
        <f>BÖLCSŐDE!BA89+FALUHÁZ!BA89+ÓVODA!BA89+PMH!BA89+ÖNKORMÁNYZAT!BA89</f>
        <v>0</v>
      </c>
      <c r="BB89" s="501">
        <f>BÖLCSŐDE!BB89+FALUHÁZ!BB89+ÓVODA!BB89+PMH!BB89+ÖNKORMÁNYZAT!BB89</f>
        <v>0</v>
      </c>
      <c r="BC89" s="501">
        <f>BÖLCSŐDE!BC89+FALUHÁZ!BC89+ÓVODA!BC89+PMH!BC89+ÖNKORMÁNYZAT!BC89</f>
        <v>0</v>
      </c>
      <c r="BD89" s="501">
        <f>BÖLCSŐDE!BD89+FALUHÁZ!BD89+ÓVODA!BD89+PMH!BD89+ÖNKORMÁNYZAT!BD89</f>
        <v>0</v>
      </c>
      <c r="BE89" s="501">
        <f>BÖLCSŐDE!BE89+FALUHÁZ!BE89+ÓVODA!BE89+PMH!BE89+ÖNKORMÁNYZAT!BE89</f>
        <v>0</v>
      </c>
      <c r="BF89" s="501">
        <f>BÖLCSŐDE!BF89+FALUHÁZ!BF89+ÓVODA!BF89+PMH!BF89+ÖNKORMÁNYZAT!BF89</f>
        <v>0</v>
      </c>
      <c r="BG89" s="383">
        <f>BÖLCSŐDE!BG89+FALUHÁZ!BG89+ÓVODA!BG89+PMH!BG89+ÖNKORMÁNYZAT!BG89</f>
        <v>0</v>
      </c>
      <c r="BH89" s="65">
        <f>BÖLCSŐDE!BH89+FALUHÁZ!BH89+ÓVODA!BH89+PMH!BH89+ÖNKORMÁNYZAT!BH89</f>
        <v>0</v>
      </c>
      <c r="BI89" s="65">
        <f>BÖLCSŐDE!BI89+FALUHÁZ!BI89+ÓVODA!BI89+PMH!BI89+ÖNKORMÁNYZAT!BI89</f>
        <v>0</v>
      </c>
      <c r="BJ89" s="65">
        <f>BÖLCSŐDE!BJ89+FALUHÁZ!BJ89+ÓVODA!BJ89+PMH!BJ89+ÖNKORMÁNYZAT!BJ89</f>
        <v>0</v>
      </c>
      <c r="BK89" s="65">
        <f>BÖLCSŐDE!BK89+FALUHÁZ!BK89+ÓVODA!BK89+PMH!BK89+ÖNKORMÁNYZAT!BK89</f>
        <v>44840544</v>
      </c>
      <c r="BL89" s="65">
        <f>BÖLCSŐDE!BL89+FALUHÁZ!BL89+ÓVODA!BL89+PMH!BL89+ÖNKORMÁNYZAT!BL89</f>
        <v>0</v>
      </c>
      <c r="BM89" s="222">
        <f>BÖLCSŐDE!BM89+FALUHÁZ!BM89+ÓVODA!BM89+PMH!BM89+ÖNKORMÁNYZAT!BM89</f>
        <v>0</v>
      </c>
      <c r="BN89" s="65">
        <f>BÖLCSŐDE!BN89+FALUHÁZ!BN89+ÓVODA!BN89+PMH!BN89+ÖNKORMÁNYZAT!BN89</f>
        <v>0</v>
      </c>
      <c r="BO89" s="65">
        <f>BÖLCSŐDE!BO89+FALUHÁZ!BO89+ÓVODA!BO89+PMH!BO89+ÖNKORMÁNYZAT!BO89</f>
        <v>0</v>
      </c>
      <c r="BP89" s="65">
        <f>BÖLCSŐDE!BP89+FALUHÁZ!BP89+ÓVODA!BP89+PMH!BP89+ÖNKORMÁNYZAT!BP89</f>
        <v>0</v>
      </c>
      <c r="BQ89" s="65">
        <f>BÖLCSŐDE!BQ89+FALUHÁZ!BQ89+ÓVODA!BQ89+PMH!BQ89+ÖNKORMÁNYZAT!BQ89</f>
        <v>0</v>
      </c>
      <c r="BR89" s="65">
        <f>BÖLCSŐDE!BR89+FALUHÁZ!BR89+ÓVODA!BR89+PMH!BR89+ÖNKORMÁNYZAT!BR89</f>
        <v>0</v>
      </c>
      <c r="BS89" s="65">
        <f>BÖLCSŐDE!BS89+FALUHÁZ!BS89+ÓVODA!BS89+PMH!BS89+ÖNKORMÁNYZAT!BS89</f>
        <v>0</v>
      </c>
      <c r="BT89" s="65">
        <f>BÖLCSŐDE!BT89+FALUHÁZ!BT89+ÓVODA!BT89+PMH!BT89+ÖNKORMÁNYZAT!BT89</f>
        <v>0</v>
      </c>
      <c r="BU89" s="65">
        <f>BÖLCSŐDE!BU89+FALUHÁZ!BU89+ÓVODA!BU89+PMH!BU89+ÖNKORMÁNYZAT!BU89</f>
        <v>0</v>
      </c>
      <c r="BV89" s="65">
        <f>BÖLCSŐDE!BV89+FALUHÁZ!BV89+ÓVODA!BV89+PMH!BV89+ÖNKORMÁNYZAT!BV89</f>
        <v>0</v>
      </c>
    </row>
    <row r="90" spans="1:74" x14ac:dyDescent="0.25">
      <c r="A90" s="54" t="s">
        <v>65</v>
      </c>
      <c r="B90" s="65" t="s">
        <v>168</v>
      </c>
      <c r="C90" s="65">
        <f>BÖLCSŐDE!C90+FALUHÁZ!C90+ÓVODA!C90+PMH!C90+ÖNKORMÁNYZAT!C90</f>
        <v>122255000</v>
      </c>
      <c r="D90" s="65">
        <f>BÖLCSŐDE!D90+FALUHÁZ!D90+ÓVODA!D90+PMH!D90+ÖNKORMÁNYZAT!D90</f>
        <v>37632199</v>
      </c>
      <c r="E90" s="65">
        <f>BÖLCSŐDE!E90+FALUHÁZ!E90+ÓVODA!E90+PMH!E90+ÖNKORMÁNYZAT!E90</f>
        <v>151337611.15000001</v>
      </c>
      <c r="F90" s="65">
        <f>BÖLCSŐDE!F90+FALUHÁZ!F90+ÓVODA!F90+PMH!F90+ÖNKORMÁNYZAT!F90</f>
        <v>37136697</v>
      </c>
      <c r="G90" s="65">
        <f>BÖLCSŐDE!G90+FALUHÁZ!G90+ÓVODA!G90+PMH!G90+ÖNKORMÁNYZAT!G90</f>
        <v>81200790</v>
      </c>
      <c r="H90" s="65">
        <f>BÖLCSŐDE!H90+FALUHÁZ!H90+ÓVODA!H90+PMH!H90+ÖNKORMÁNYZAT!H90</f>
        <v>50044326</v>
      </c>
      <c r="I90" s="65">
        <f t="shared" si="14"/>
        <v>54593810.18181818</v>
      </c>
      <c r="J90" s="65">
        <v>144816713.58267719</v>
      </c>
      <c r="K90" s="65">
        <v>144147422.24409452</v>
      </c>
      <c r="L90" s="65">
        <f>BÖLCSŐDE!L90+FALUHÁZ!L90+ÓVODA!L90+PMH!L90+ÖNKORMÁNYZAT!L90</f>
        <v>143341631.72440946</v>
      </c>
      <c r="M90" s="14">
        <f t="shared" si="15"/>
        <v>262.56022660266291</v>
      </c>
      <c r="O90" s="65">
        <f>BÖLCSŐDE!O90+FALUHÁZ!N90+ÓVODA!O90+PMH!O90+ÖNKORMÁNYZAT!O90</f>
        <v>300830879</v>
      </c>
      <c r="P90" s="65">
        <f>BÖLCSŐDE!P90+FALUHÁZ!O90+ÓVODA!P90+PMH!P90+ÖNKORMÁNYZAT!P90</f>
        <v>100821294</v>
      </c>
      <c r="Q90" s="65">
        <f>BÖLCSŐDE!Q90+FALUHÁZ!P90+ÓVODA!Q90+PMH!Q90+ÖNKORMÁNYZAT!Q90</f>
        <v>102039394</v>
      </c>
      <c r="R90" s="65">
        <f>BÖLCSŐDE!R90+FALUHÁZ!Q90+ÓVODA!R90+PMH!R90+ÖNKORMÁNYZAT!R90</f>
        <v>522696042</v>
      </c>
      <c r="S90" s="65">
        <f>BÖLCSŐDE!S90+FALUHÁZ!R90+ÓVODA!S90+PMH!S90+ÖNKORMÁNYZAT!S90</f>
        <v>295595012</v>
      </c>
      <c r="T90" s="65">
        <f>BÖLCSŐDE!T90+FALUHÁZ!S90+ÓVODA!T90+PMH!T90+ÖNKORMÁNYZAT!T90</f>
        <v>142490708</v>
      </c>
      <c r="U90" s="65">
        <f>BÖLCSŐDE!U90+FALUHÁZ!T90+ÓVODA!U90+PMH!U90+ÖNKORMÁNYZAT!U90</f>
        <v>531821212.69999999</v>
      </c>
      <c r="V90" s="65">
        <f>BÖLCSŐDE!V90+FALUHÁZ!U90+ÓVODA!V90+PMH!V90+ÖNKORMÁNYZAT!V90</f>
        <v>404390716.69999999</v>
      </c>
      <c r="W90" s="65">
        <f>BÖLCSŐDE!W90+FALUHÁZ!V90+ÓVODA!W90+PMH!W90+ÖNKORMÁNYZAT!W90</f>
        <v>407190716.69999999</v>
      </c>
      <c r="X90" s="121">
        <f t="shared" si="16"/>
        <v>35.235899865057412</v>
      </c>
      <c r="AA90" s="65">
        <f>BÖLCSŐDE!AA90+FALUHÁZ!Z90+ÓVODA!AA90+PMH!AA90+ÖNKORMÁNYZAT!AA90</f>
        <v>450333087.69999999</v>
      </c>
      <c r="AB90" s="65">
        <f>BÖLCSŐDE!AB90+FALUHÁZ!AA90+ÓVODA!AB90+PMH!AB90+ÖNKORMÁNYZAT!AB90</f>
        <v>91127731</v>
      </c>
      <c r="AC90" s="65">
        <f>BÖLCSŐDE!AB90+FALUHÁZ!AA90+ÓVODA!AB90+PMH!AB90+ÖNKORMÁNYZAT!AB90</f>
        <v>91127731</v>
      </c>
      <c r="AD90" s="65">
        <f>BÖLCSŐDE!AC90+FALUHÁZ!AB90+ÓVODA!AC90+PMH!AC90+ÖNKORMÁNYZAT!AC90</f>
        <v>213991111</v>
      </c>
      <c r="AE90" s="222" t="e">
        <f>BÖLCSŐDE!AE90+FALUHÁZ!AD90+ÓVODA!AE90+PMH!AE90+ÖNKORMÁNYZAT!AD90</f>
        <v>#DIV/0!</v>
      </c>
      <c r="AF90" s="121">
        <f t="shared" si="13"/>
        <v>47.518407339981025</v>
      </c>
      <c r="AG90" s="65">
        <f>BÖLCSŐDE!AG89+FALUHÁZ!AG89+ÓVODA!AG89+PMH!AG89+ÖNKORMÁNYZAT!AG89</f>
        <v>0</v>
      </c>
      <c r="AH90" s="65"/>
      <c r="AI90" s="65">
        <f>BÖLCSŐDE!AI90+FALUHÁZ!AJ90+ÓVODA!AI90+PMH!AI90+ÖNKORMÁNYZAT!AI90</f>
        <v>616771653.54330707</v>
      </c>
      <c r="AJ90" s="65"/>
      <c r="AK90" s="65">
        <f>BÖLCSŐDE!AL90+FALUHÁZ!AK90+ÓVODA!AK90+PMH!AK90+ÖNKORMÁNYZAT!AK90</f>
        <v>502577829.81102359</v>
      </c>
      <c r="AM90" s="65">
        <f>BÖLCSŐDE!AM90+FALUHÁZ!AM90+ÓVODA!AM90+PMH!AM90+ÖNKORMÁNYZAT!AM90</f>
        <v>531695759</v>
      </c>
      <c r="AN90" s="65">
        <f>BÖLCSŐDE!AN90+FALUHÁZ!AN90+ÓVODA!AP90+PMH!AN90+ÖNKORMÁNYZAT!AP90</f>
        <v>620971689</v>
      </c>
      <c r="AO90" s="65">
        <f>BÖLCSŐDE!AO90+FALUHÁZ!AO90+ÓVODA!AQ90+PMH!AO90+ÖNKORMÁNYZAT!AQ90</f>
        <v>464694954</v>
      </c>
      <c r="AP90" s="65">
        <f>BÖLCSŐDE!AP90+FALUHÁZ!AP90+ÓVODA!AP90+PMH!AP90+ÖNKORMÁNYZAT!AP90</f>
        <v>620971689</v>
      </c>
      <c r="AQ90" s="65">
        <f>BÖLCSŐDE!AQ90+FALUHÁZ!AQ90+ÓVODA!AQ90+PMH!AQ90+ÖNKORMÁNYZAT!AQ90</f>
        <v>464694954</v>
      </c>
      <c r="AR90" s="65">
        <f t="shared" si="9"/>
        <v>156276735</v>
      </c>
      <c r="AS90" s="54">
        <f t="shared" si="10"/>
        <v>74.833516927049473</v>
      </c>
      <c r="AT90" s="65">
        <f>BÖLCSŐDE!AT90+FALUHÁZ!AT90+ÓVODA!AT90+PMH!AT90+ÖNKORMÁNYZAT!AT90</f>
        <v>515667468</v>
      </c>
      <c r="AU90" s="65">
        <f t="shared" si="11"/>
        <v>105304221</v>
      </c>
      <c r="AV90" s="54">
        <f t="shared" si="12"/>
        <v>16.957974552685286</v>
      </c>
      <c r="AW90" s="65">
        <f>BÖLCSŐDE!AW90+FALUHÁZ!AW90+ÓVODA!AW90+PMH!AW90+ÖNKORMÁNYZAT!AW90</f>
        <v>511384916</v>
      </c>
      <c r="AX90" s="65">
        <f>BÖLCSŐDE!AX90+FALUHÁZ!AX90+ÓVODA!AX90+PMH!AX90+ÖNKORMÁNYZAT!AX90</f>
        <v>244623379</v>
      </c>
      <c r="AY90" s="65">
        <f>BÖLCSŐDE!AY90+FALUHÁZ!AY90+ÓVODA!AY90+PMH!AY90+ÖNKORMÁNYZAT!AY90</f>
        <v>216906844.09448817</v>
      </c>
      <c r="AZ90" s="65">
        <f>BÖLCSŐDE!AZ90+FALUHÁZ!AZ90+ÓVODA!AZ90+PMH!AZ90+ÖNKORMÁNYZAT!AZ90</f>
        <v>216906844.07086614</v>
      </c>
      <c r="BA90" s="65">
        <f>BÖLCSŐDE!BA90+FALUHÁZ!BA90+ÓVODA!BA90+PMH!BA90+ÖNKORMÁNYZAT!BA90</f>
        <v>216906844.07086614</v>
      </c>
      <c r="BB90" s="65">
        <f>BÖLCSŐDE!BB90+FALUHÁZ!BB90+ÓVODA!BB90+PMH!BB90+ÖNKORMÁNYZAT!BB90</f>
        <v>223206056</v>
      </c>
      <c r="BC90" s="65">
        <f>BÖLCSŐDE!BC90+FALUHÁZ!BC90+ÓVODA!BC90+PMH!BC90+ÖNKORMÁNYZAT!BC90</f>
        <v>210889281</v>
      </c>
      <c r="BD90" s="65">
        <f>BÖLCSŐDE!BD90+FALUHÁZ!BD90+ÓVODA!BD90+PMH!BD90+ÖNKORMÁNYZAT!BD90</f>
        <v>108928757</v>
      </c>
      <c r="BE90" s="65">
        <f>BÖLCSŐDE!BE90+FALUHÁZ!BE90+ÓVODA!BE90+PMH!BE90+ÖNKORMÁNYZAT!BE90</f>
        <v>118776237</v>
      </c>
      <c r="BF90" s="65">
        <f>BÖLCSŐDE!BF90+FALUHÁZ!BF90+ÓVODA!BF90+PMH!BF90+ÖNKORMÁNYZAT!BF90</f>
        <v>123260713</v>
      </c>
      <c r="BG90" s="65">
        <f>BÖLCSŐDE!BG90+FALUHÁZ!BG90+ÓVODA!BG90+PMH!BG90+ÖNKORMÁNYZAT!BG90</f>
        <v>147912855.60000002</v>
      </c>
      <c r="BH90" s="65">
        <f>BÖLCSŐDE!BH90+FALUHÁZ!BH90+ÓVODA!BH90+PMH!BH90+ÖNKORMÁNYZAT!BH90</f>
        <v>156674803</v>
      </c>
      <c r="BI90" s="65">
        <f>BÖLCSŐDE!BI90+FALUHÁZ!BI90+ÓVODA!BI90+PMH!BI90+ÖNKORMÁNYZAT!BI90</f>
        <v>309806677</v>
      </c>
      <c r="BJ90" s="65">
        <f>BÖLCSŐDE!BJ90+FALUHÁZ!BJ90+ÓVODA!BJ90+PMH!BJ90+ÖNKORMÁNYZAT!BJ90</f>
        <v>30228735</v>
      </c>
      <c r="BK90" s="65">
        <f>BÖLCSŐDE!BK90+FALUHÁZ!BK90+ÓVODA!BK90+PMH!BK90+ÖNKORMÁNYZAT!BK90</f>
        <v>0</v>
      </c>
      <c r="BL90" s="65">
        <f>BÖLCSŐDE!BL90+FALUHÁZ!BL90+ÓVODA!BL90+PMH!BL90+ÖNKORMÁNYZAT!BL90</f>
        <v>0</v>
      </c>
      <c r="BM90" s="222">
        <f>BÖLCSŐDE!BM90+FALUHÁZ!BM90+ÓVODA!BM90+PMH!BM90+ÖNKORMÁNYZAT!BM90</f>
        <v>288337023</v>
      </c>
      <c r="BN90" s="65">
        <f>BÖLCSŐDE!BN90+FALUHÁZ!BN90+ÓVODA!BN90+PMH!BN90+ÖNKORMÁNYZAT!BN90</f>
        <v>288337023</v>
      </c>
      <c r="BO90" s="65">
        <f>BÖLCSŐDE!BO90+FALUHÁZ!BO90+ÓVODA!BO90+PMH!BO90+ÖNKORMÁNYZAT!BO90</f>
        <v>28517870</v>
      </c>
      <c r="BP90" s="65">
        <f>BÖLCSŐDE!BP90+FALUHÁZ!BP90+ÓVODA!BP90+PMH!BP90+ÖNKORMÁNYZAT!BP90</f>
        <v>34221444</v>
      </c>
      <c r="BQ90" s="65">
        <f>BÖLCSŐDE!BQ90+FALUHÁZ!BQ90+ÓVODA!BQ90+PMH!BQ90+ÖNKORMÁNYZAT!BQ90</f>
        <v>984677089</v>
      </c>
      <c r="BR90" s="65">
        <f>BÖLCSŐDE!BR90+FALUHÁZ!BR90+ÓVODA!BR90+PMH!BR90+ÖNKORMÁNYZAT!BR90</f>
        <v>780005676</v>
      </c>
      <c r="BS90" s="65">
        <f>BÖLCSŐDE!BS90+FALUHÁZ!BS90+ÓVODA!BS90+PMH!BS90+ÖNKORMÁNYZAT!BS90</f>
        <v>765342585</v>
      </c>
      <c r="BT90" s="65">
        <f>BÖLCSŐDE!BT90+FALUHÁZ!BT90+ÓVODA!BT90+PMH!BT90+ÖNKORMÁNYZAT!BT90</f>
        <v>779543372.44094479</v>
      </c>
      <c r="BU90" s="65">
        <f>BÖLCSŐDE!BU90+FALUHÁZ!BU90+ÓVODA!BU90+PMH!BU90+ÖNKORMÁNYZAT!BU90</f>
        <v>78740</v>
      </c>
      <c r="BV90" s="65">
        <f>BÖLCSŐDE!BV90+FALUHÁZ!BV90+ÓVODA!BV90+PMH!BV90+ÖNKORMÁNYZAT!BV90</f>
        <v>0</v>
      </c>
    </row>
    <row r="91" spans="1:74" x14ac:dyDescent="0.25">
      <c r="A91" s="54" t="s">
        <v>67</v>
      </c>
      <c r="B91" s="55" t="s">
        <v>169</v>
      </c>
      <c r="C91" s="55">
        <f>BÖLCSŐDE!C91+FALUHÁZ!C91+ÓVODA!C91+PMH!C91+ÖNKORMÁNYZAT!C91</f>
        <v>0</v>
      </c>
      <c r="D91" s="55">
        <f>BÖLCSŐDE!D91+FALUHÁZ!D91+ÓVODA!D91+PMH!D91+ÖNKORMÁNYZAT!D91</f>
        <v>88480</v>
      </c>
      <c r="E91" s="55">
        <f>BÖLCSŐDE!E91+FALUHÁZ!E91+ÓVODA!E91+PMH!E91+ÖNKORMÁNYZAT!E91</f>
        <v>0</v>
      </c>
      <c r="F91" s="55">
        <f>BÖLCSŐDE!F91+FALUHÁZ!F91+ÓVODA!F91+PMH!F91+ÖNKORMÁNYZAT!F91</f>
        <v>2060258</v>
      </c>
      <c r="G91" s="55">
        <f>BÖLCSŐDE!G91+FALUHÁZ!G91+ÓVODA!G91+PMH!G91+ÖNKORMÁNYZAT!G91</f>
        <v>2741510</v>
      </c>
      <c r="H91" s="55">
        <f>BÖLCSŐDE!H91+FALUHÁZ!H91+ÓVODA!H91+PMH!H91+ÖNKORMÁNYZAT!H91</f>
        <v>2246258</v>
      </c>
      <c r="I91" s="55">
        <f t="shared" si="14"/>
        <v>2450463.2727272729</v>
      </c>
      <c r="J91" s="55">
        <v>314960</v>
      </c>
      <c r="K91" s="55">
        <v>314960</v>
      </c>
      <c r="L91" s="55">
        <f>BÖLCSŐDE!L91+FALUHÁZ!L91+ÓVODA!L91+PMH!L91+ÖNKORMÁNYZAT!L91</f>
        <v>314960</v>
      </c>
      <c r="M91" s="1">
        <f t="shared" si="15"/>
        <v>12.853079803536962</v>
      </c>
      <c r="O91" s="55">
        <f>BÖLCSŐDE!O91+FALUHÁZ!N91+ÓVODA!O91+PMH!O91+ÖNKORMÁNYZAT!O91</f>
        <v>354960</v>
      </c>
      <c r="P91" s="55">
        <f>BÖLCSŐDE!P91+FALUHÁZ!O91+ÓVODA!P91+PMH!P91+ÖNKORMÁNYZAT!P91</f>
        <v>341484</v>
      </c>
      <c r="Q91" s="55">
        <f>BÖLCSŐDE!Q91+FALUHÁZ!P91+ÓVODA!Q91+PMH!Q91+ÖNKORMÁNYZAT!Q91</f>
        <v>341484</v>
      </c>
      <c r="R91" s="55">
        <f>BÖLCSŐDE!R91+FALUHÁZ!Q91+ÓVODA!R91+PMH!R91+ÖNKORMÁNYZAT!R91</f>
        <v>0</v>
      </c>
      <c r="S91" s="55">
        <f>BÖLCSŐDE!S91+FALUHÁZ!R91+ÓVODA!S91+PMH!S91+ÖNKORMÁNYZAT!S91</f>
        <v>354960</v>
      </c>
      <c r="T91" s="55">
        <f>BÖLCSŐDE!T91+FALUHÁZ!S91+ÓVODA!T91+PMH!T91+ÖNKORMÁNYZAT!T91</f>
        <v>341484</v>
      </c>
      <c r="U91" s="55">
        <f>BÖLCSŐDE!U91+FALUHÁZ!T91+ÓVODA!U91+PMH!U91+ÖNKORMÁNYZAT!U91</f>
        <v>0</v>
      </c>
      <c r="V91" s="55">
        <f>BÖLCSŐDE!V91+FALUHÁZ!U91+ÓVODA!V91+PMH!V91+ÖNKORMÁNYZAT!V91</f>
        <v>0</v>
      </c>
      <c r="W91" s="55">
        <f>BÖLCSŐDE!W91+FALUHÁZ!V91+ÓVODA!W91+PMH!W91+ÖNKORMÁNYZAT!W91</f>
        <v>0</v>
      </c>
      <c r="X91" s="122"/>
      <c r="AA91" s="55">
        <f>BÖLCSŐDE!AA91+FALUHÁZ!Z91+ÓVODA!AA91+PMH!AA91+ÖNKORMÁNYZAT!AA91</f>
        <v>0</v>
      </c>
      <c r="AB91" s="55">
        <f>BÖLCSŐDE!AB91+FALUHÁZ!AA91+ÓVODA!AB91+PMH!AB91+ÖNKORMÁNYZAT!AB91</f>
        <v>0</v>
      </c>
      <c r="AC91" s="55">
        <f>BÖLCSŐDE!AB91+FALUHÁZ!AA91+ÓVODA!AB91+PMH!AB91+ÖNKORMÁNYZAT!AB91</f>
        <v>0</v>
      </c>
      <c r="AD91" s="55">
        <f>BÖLCSŐDE!AC91+FALUHÁZ!AB91+ÓVODA!AC91+PMH!AC91+ÖNKORMÁNYZAT!AC91</f>
        <v>0</v>
      </c>
      <c r="AE91" s="223">
        <f>BÖLCSŐDE!AE91+FALUHÁZ!AD91+ÓVODA!AE91+PMH!AE91+ÖNKORMÁNYZAT!AD91</f>
        <v>0</v>
      </c>
      <c r="AF91" s="122"/>
      <c r="AG91" s="55">
        <f>BÖLCSŐDE!AG90+FALUHÁZ!AG90+ÓVODA!AG90+PMH!AG90+ÖNKORMÁNYZAT!AG90</f>
        <v>405871305</v>
      </c>
      <c r="AH91" s="55"/>
      <c r="AI91" s="55">
        <f>BÖLCSŐDE!AI91+FALUHÁZ!AJ91+ÓVODA!AI91+PMH!AI91+ÖNKORMÁNYZAT!AI91</f>
        <v>0</v>
      </c>
      <c r="AJ91" s="55"/>
      <c r="AK91" s="55">
        <f>BÖLCSŐDE!AL91+FALUHÁZ!AK91+ÓVODA!AK91+PMH!AK91+ÖNKORMÁNYZAT!AK91</f>
        <v>0</v>
      </c>
      <c r="AM91" s="55">
        <f>BÖLCSŐDE!AM91+FALUHÁZ!AM91+ÓVODA!AM91+PMH!AM91+ÖNKORMÁNYZAT!AM91</f>
        <v>0</v>
      </c>
      <c r="AN91" s="55">
        <f>BÖLCSŐDE!AN91+FALUHÁZ!AN91+ÓVODA!AP91+PMH!AN91+ÖNKORMÁNYZAT!AP91</f>
        <v>0</v>
      </c>
      <c r="AO91" s="55">
        <f>BÖLCSŐDE!AO91+FALUHÁZ!AO91+ÓVODA!AQ91+PMH!AO91+ÖNKORMÁNYZAT!AQ91</f>
        <v>0</v>
      </c>
      <c r="AP91" s="55">
        <f>BÖLCSŐDE!AP91+FALUHÁZ!AP91+ÓVODA!AP91+PMH!AP91+ÖNKORMÁNYZAT!AP91</f>
        <v>0</v>
      </c>
      <c r="AQ91" s="55">
        <f>BÖLCSŐDE!AQ91+FALUHÁZ!AQ91+ÓVODA!AQ91+PMH!AQ91+ÖNKORMÁNYZAT!AQ91</f>
        <v>0</v>
      </c>
      <c r="AR91" s="55">
        <f t="shared" si="9"/>
        <v>0</v>
      </c>
      <c r="AS91" s="54"/>
      <c r="AT91" s="55">
        <f>BÖLCSŐDE!AT91+FALUHÁZ!AT91+ÓVODA!AT91+PMH!AT91+ÖNKORMÁNYZAT!AT91</f>
        <v>0</v>
      </c>
      <c r="AU91" s="55"/>
      <c r="AV91" s="54"/>
      <c r="AW91" s="55">
        <f>BÖLCSŐDE!AW91+FALUHÁZ!AW91+ÓVODA!AW91+PMH!AW91+ÖNKORMÁNYZAT!AW91</f>
        <v>0</v>
      </c>
      <c r="AX91" s="55">
        <f>BÖLCSŐDE!AX91+FALUHÁZ!AX91+ÓVODA!AX91+PMH!AX91+ÖNKORMÁNYZAT!AX91</f>
        <v>0</v>
      </c>
      <c r="AY91" s="55">
        <f>BÖLCSŐDE!AY91+FALUHÁZ!AY91+ÓVODA!AY91+PMH!AY91+ÖNKORMÁNYZAT!AY91</f>
        <v>0</v>
      </c>
      <c r="AZ91" s="55">
        <f>BÖLCSŐDE!AZ91+FALUHÁZ!AZ91+ÓVODA!AZ91+PMH!AZ91+ÖNKORMÁNYZAT!AZ91</f>
        <v>0</v>
      </c>
      <c r="BA91" s="55">
        <f>BÖLCSŐDE!BA91+FALUHÁZ!BA91+ÓVODA!BA91+PMH!BA91+ÖNKORMÁNYZAT!BA91</f>
        <v>0</v>
      </c>
      <c r="BB91" s="501">
        <f>BÖLCSŐDE!BB91+FALUHÁZ!BB91+ÓVODA!BB91+PMH!BB91+ÖNKORMÁNYZAT!BB91</f>
        <v>0</v>
      </c>
      <c r="BC91" s="501">
        <f>BÖLCSŐDE!BC91+FALUHÁZ!BC91+ÓVODA!BC91+PMH!BC91+ÖNKORMÁNYZAT!BC91</f>
        <v>0</v>
      </c>
      <c r="BD91" s="501">
        <f>BÖLCSŐDE!BD91+FALUHÁZ!BD91+ÓVODA!BD91+PMH!BD91+ÖNKORMÁNYZAT!BD91</f>
        <v>0</v>
      </c>
      <c r="BE91" s="501">
        <f>BÖLCSŐDE!BE91+FALUHÁZ!BE91+ÓVODA!BE91+PMH!BE91+ÖNKORMÁNYZAT!BE91</f>
        <v>0</v>
      </c>
      <c r="BF91" s="501">
        <f>BÖLCSŐDE!BF91+FALUHÁZ!BF91+ÓVODA!BF91+PMH!BF91+ÖNKORMÁNYZAT!BF91</f>
        <v>227504</v>
      </c>
      <c r="BG91" s="383">
        <f>BÖLCSŐDE!BG91+FALUHÁZ!BG91+ÓVODA!BG91+PMH!BG91+ÖNKORMÁNYZAT!BG91</f>
        <v>273004.80000000005</v>
      </c>
      <c r="BH91" s="65">
        <f>BÖLCSŐDE!BH91+FALUHÁZ!BH91+ÓVODA!BH91+PMH!BH91+ÖNKORMÁNYZAT!BH91</f>
        <v>0</v>
      </c>
      <c r="BI91" s="65">
        <f>BÖLCSŐDE!BI91+FALUHÁZ!BI91+ÓVODA!BI91+PMH!BI91+ÖNKORMÁNYZAT!BI91</f>
        <v>1008433</v>
      </c>
      <c r="BJ91" s="65">
        <f>BÖLCSŐDE!BJ91+FALUHÁZ!BJ91+ÓVODA!BJ91+PMH!BJ91+ÖNKORMÁNYZAT!BJ91</f>
        <v>613350</v>
      </c>
      <c r="BK91" s="65">
        <f>BÖLCSŐDE!BK91+FALUHÁZ!BK91+ÓVODA!BK91+PMH!BK91+ÖNKORMÁNYZAT!BK91</f>
        <v>1008433</v>
      </c>
      <c r="BL91" s="65">
        <f>BÖLCSŐDE!BL91+FALUHÁZ!BL91+ÓVODA!BL91+PMH!BL91+ÖNKORMÁNYZAT!BL91</f>
        <v>0</v>
      </c>
      <c r="BM91" s="222">
        <f>BÖLCSŐDE!BM91+FALUHÁZ!BM91+ÓVODA!BM91+PMH!BM91+ÖNKORMÁNYZAT!BM91</f>
        <v>0</v>
      </c>
      <c r="BN91" s="65">
        <f>BÖLCSŐDE!BN91+FALUHÁZ!BN91+ÓVODA!BN91+PMH!BN91+ÖNKORMÁNYZAT!BN91</f>
        <v>0</v>
      </c>
      <c r="BO91" s="65">
        <f>BÖLCSŐDE!BO91+FALUHÁZ!BO91+ÓVODA!BO91+PMH!BO91+ÖNKORMÁNYZAT!BO91</f>
        <v>0</v>
      </c>
      <c r="BP91" s="65">
        <f>BÖLCSŐDE!BP91+FALUHÁZ!BP91+ÓVODA!BP91+PMH!BP91+ÖNKORMÁNYZAT!BP91</f>
        <v>0</v>
      </c>
      <c r="BQ91" s="65">
        <f>BÖLCSŐDE!BQ91+FALUHÁZ!BQ91+ÓVODA!BQ91+PMH!BQ91+ÖNKORMÁNYZAT!BQ91</f>
        <v>0</v>
      </c>
      <c r="BR91" s="65">
        <f>BÖLCSŐDE!BR91+FALUHÁZ!BR91+ÓVODA!BR91+PMH!BR91+ÖNKORMÁNYZAT!BR91</f>
        <v>0</v>
      </c>
      <c r="BS91" s="65">
        <f>BÖLCSŐDE!BS91+FALUHÁZ!BS91+ÓVODA!BS91+PMH!BS91+ÖNKORMÁNYZAT!BS91</f>
        <v>0</v>
      </c>
      <c r="BT91" s="65">
        <f>BÖLCSŐDE!BT91+FALUHÁZ!BT91+ÓVODA!BT91+PMH!BT91+ÖNKORMÁNYZAT!BT91</f>
        <v>0</v>
      </c>
      <c r="BU91" s="65">
        <f>BÖLCSŐDE!BU91+FALUHÁZ!BU91+ÓVODA!BU91+PMH!BU91+ÖNKORMÁNYZAT!BU91</f>
        <v>4056212</v>
      </c>
      <c r="BV91" s="65">
        <f>BÖLCSŐDE!BV91+FALUHÁZ!BV91+ÓVODA!BV91+PMH!BV91+ÖNKORMÁNYZAT!BV91</f>
        <v>20780000</v>
      </c>
    </row>
    <row r="92" spans="1:74" x14ac:dyDescent="0.25">
      <c r="A92" s="54" t="s">
        <v>68</v>
      </c>
      <c r="B92" s="55" t="s">
        <v>170</v>
      </c>
      <c r="C92" s="55">
        <f>BÖLCSŐDE!C92+FALUHÁZ!C92+ÓVODA!C92+PMH!C92+ÖNKORMÁNYZAT!C92</f>
        <v>0</v>
      </c>
      <c r="D92" s="55">
        <f>BÖLCSŐDE!D92+FALUHÁZ!D92+ÓVODA!D92+PMH!D92+ÖNKORMÁNYZAT!D92</f>
        <v>1041235</v>
      </c>
      <c r="E92" s="55">
        <f>BÖLCSŐDE!E92+FALUHÁZ!E92+ÓVODA!E92+PMH!E92+ÖNKORMÁNYZAT!E92</f>
        <v>1817000</v>
      </c>
      <c r="F92" s="55">
        <f>BÖLCSŐDE!F92+FALUHÁZ!F92+ÓVODA!F92+PMH!F92+ÖNKORMÁNYZAT!F92</f>
        <v>7803449</v>
      </c>
      <c r="G92" s="55">
        <f>BÖLCSŐDE!G92+FALUHÁZ!G92+ÓVODA!G92+PMH!G92+ÖNKORMÁNYZAT!G92</f>
        <v>9652191</v>
      </c>
      <c r="H92" s="55">
        <f>BÖLCSŐDE!H92+FALUHÁZ!H92+ÓVODA!H92+PMH!H92+ÖNKORMÁNYZAT!H92</f>
        <v>9322762</v>
      </c>
      <c r="I92" s="55">
        <f t="shared" si="14"/>
        <v>10170285.818181818</v>
      </c>
      <c r="J92" s="55">
        <v>2165354.3307086616</v>
      </c>
      <c r="K92" s="55">
        <v>2165354.3307086616</v>
      </c>
      <c r="L92" s="55">
        <f>BÖLCSŐDE!L92+FALUHÁZ!L92+ÓVODA!L92+PMH!L92+ÖNKORMÁNYZAT!L92</f>
        <v>2165354.3307086616</v>
      </c>
      <c r="M92" s="1">
        <f t="shared" si="15"/>
        <v>21.290987976341558</v>
      </c>
      <c r="O92" s="55">
        <f>BÖLCSŐDE!O92+FALUHÁZ!N92+ÓVODA!O92+PMH!O92+ÖNKORMÁNYZAT!O92</f>
        <v>24450354</v>
      </c>
      <c r="P92" s="55">
        <f>BÖLCSŐDE!P92+FALUHÁZ!O92+ÓVODA!P92+PMH!P92+ÖNKORMÁNYZAT!P92</f>
        <v>23406659</v>
      </c>
      <c r="Q92" s="55">
        <f>BÖLCSŐDE!Q92+FALUHÁZ!P92+ÓVODA!Q92+PMH!Q92+ÖNKORMÁNYZAT!Q92</f>
        <v>23520459</v>
      </c>
      <c r="R92" s="55">
        <f>BÖLCSŐDE!R92+FALUHÁZ!Q92+ÓVODA!R92+PMH!R92+ÖNKORMÁNYZAT!R92</f>
        <v>0</v>
      </c>
      <c r="S92" s="55">
        <f>BÖLCSŐDE!S92+FALUHÁZ!R92+ÓVODA!S92+PMH!S92+ÖNKORMÁNYZAT!S92</f>
        <v>26774951</v>
      </c>
      <c r="T92" s="55">
        <f>BÖLCSŐDE!T92+FALUHÁZ!S92+ÓVODA!T92+PMH!T92+ÖNKORMÁNYZAT!T92</f>
        <v>26404075</v>
      </c>
      <c r="U92" s="55">
        <f>BÖLCSŐDE!U92+FALUHÁZ!T92+ÓVODA!U92+PMH!U92+ÖNKORMÁNYZAT!U92</f>
        <v>0</v>
      </c>
      <c r="V92" s="55">
        <f>BÖLCSŐDE!V92+FALUHÁZ!U92+ÓVODA!V92+PMH!V92+ÖNKORMÁNYZAT!V92</f>
        <v>0</v>
      </c>
      <c r="W92" s="55">
        <f>BÖLCSŐDE!W92+FALUHÁZ!V92+ÓVODA!W92+PMH!W92+ÖNKORMÁNYZAT!W92</f>
        <v>0</v>
      </c>
      <c r="X92" s="122"/>
      <c r="AA92" s="55">
        <f>BÖLCSŐDE!AA92+FALUHÁZ!Z92+ÓVODA!AA92+PMH!AA92+ÖNKORMÁNYZAT!AA92</f>
        <v>0</v>
      </c>
      <c r="AB92" s="55">
        <f>BÖLCSŐDE!AB92+FALUHÁZ!AA92+ÓVODA!AB92+PMH!AB92+ÖNKORMÁNYZAT!AB92</f>
        <v>6885844</v>
      </c>
      <c r="AC92" s="55">
        <f>BÖLCSŐDE!AB92+FALUHÁZ!AA92+ÓVODA!AB92+PMH!AB92+ÖNKORMÁNYZAT!AB92</f>
        <v>6885844</v>
      </c>
      <c r="AD92" s="55">
        <f>BÖLCSŐDE!AC92+FALUHÁZ!AB92+ÓVODA!AC92+PMH!AC92+ÖNKORMÁNYZAT!AC92</f>
        <v>9165583</v>
      </c>
      <c r="AE92" s="223">
        <f>BÖLCSŐDE!AE92+FALUHÁZ!AD92+ÓVODA!AE92+PMH!AE92+ÖNKORMÁNYZAT!AD92</f>
        <v>5197315</v>
      </c>
      <c r="AF92" s="122"/>
      <c r="AG92" s="55">
        <f>BÖLCSŐDE!AG91+FALUHÁZ!AG91+ÓVODA!AG91+PMH!AG91+ÖNKORMÁNYZAT!AG91</f>
        <v>0</v>
      </c>
      <c r="AH92" s="55"/>
      <c r="AI92" s="55">
        <f>BÖLCSŐDE!AI92+FALUHÁZ!AJ92+ÓVODA!AI92+PMH!AI92+ÖNKORMÁNYZAT!AI92</f>
        <v>9613330.7086614184</v>
      </c>
      <c r="AJ92" s="55"/>
      <c r="AK92" s="55">
        <f>BÖLCSŐDE!AL92+FALUHÁZ!AK92+ÓVODA!AK92+PMH!AK92+ÖNKORMÁNYZAT!AK92</f>
        <v>6522976.3779527564</v>
      </c>
      <c r="AM92" s="55">
        <f>BÖLCSŐDE!AM92+FALUHÁZ!AM92+ÓVODA!AM92+PMH!AM92+ÖNKORMÁNYZAT!AM92</f>
        <v>34731164</v>
      </c>
      <c r="AN92" s="55">
        <f>BÖLCSŐDE!AN92+FALUHÁZ!AN92+ÓVODA!AP92+PMH!AN92+ÖNKORMÁNYZAT!AP92</f>
        <v>21898790</v>
      </c>
      <c r="AO92" s="55">
        <f>BÖLCSŐDE!AO92+FALUHÁZ!AO92+ÓVODA!AQ92+PMH!AO92+ÖNKORMÁNYZAT!AQ92</f>
        <v>21024574</v>
      </c>
      <c r="AP92" s="55">
        <f>BÖLCSŐDE!AP92+FALUHÁZ!AP92+ÓVODA!AP92+PMH!AP92+ÖNKORMÁNYZAT!AP92</f>
        <v>22098790</v>
      </c>
      <c r="AQ92" s="55">
        <f>BÖLCSŐDE!AQ92+FALUHÁZ!AQ92+ÓVODA!AQ92+PMH!AQ92+ÖNKORMÁNYZAT!AQ92</f>
        <v>21106374</v>
      </c>
      <c r="AR92" s="55">
        <f t="shared" si="9"/>
        <v>992416</v>
      </c>
      <c r="AS92" s="54">
        <f t="shared" si="10"/>
        <v>95.509183986996575</v>
      </c>
      <c r="AT92" s="55">
        <f>BÖLCSŐDE!AT92+FALUHÁZ!AT92+ÓVODA!AT92+PMH!AT92+ÖNKORMÁNYZAT!AT92</f>
        <v>21431474</v>
      </c>
      <c r="AU92" s="55">
        <f t="shared" si="11"/>
        <v>667316</v>
      </c>
      <c r="AV92" s="54">
        <f t="shared" si="12"/>
        <v>3.0196947434678552</v>
      </c>
      <c r="AW92" s="55">
        <f>BÖLCSŐDE!AW92+FALUHÁZ!AW92+ÓVODA!AW92+PMH!AW92+ÖNKORMÁNYZAT!AW92</f>
        <v>6522977</v>
      </c>
      <c r="AX92" s="55">
        <f>BÖLCSŐDE!AX92+FALUHÁZ!AX92+ÓVODA!AX92+PMH!AX92+ÖNKORMÁNYZAT!AX92</f>
        <v>1614173</v>
      </c>
      <c r="AY92" s="55">
        <f>BÖLCSŐDE!AY92+FALUHÁZ!AY92+ÓVODA!AY92+PMH!AY92+ÖNKORMÁNYZAT!AY92</f>
        <v>1614173.2283464568</v>
      </c>
      <c r="AZ92" s="55">
        <f>BÖLCSŐDE!AZ92+FALUHÁZ!AZ92+ÓVODA!AZ92+PMH!AZ92+ÖNKORMÁNYZAT!AZ92</f>
        <v>1614173</v>
      </c>
      <c r="BA92" s="55">
        <f>BÖLCSŐDE!BA92+FALUHÁZ!BA92+ÓVODA!BA92+PMH!BA92+ÖNKORMÁNYZAT!BA92</f>
        <v>1614173</v>
      </c>
      <c r="BB92" s="501">
        <f>BÖLCSŐDE!BB92+FALUHÁZ!BB92+ÓVODA!BB92+PMH!BB92+ÖNKORMÁNYZAT!BB92</f>
        <v>1614173</v>
      </c>
      <c r="BC92" s="501">
        <f>BÖLCSŐDE!BC92+FALUHÁZ!BC92+ÓVODA!BC92+PMH!BC92+ÖNKORMÁNYZAT!BC92</f>
        <v>12618678</v>
      </c>
      <c r="BD92" s="501">
        <f>BÖLCSŐDE!BD92+FALUHÁZ!BD92+ÓVODA!BD92+PMH!BD92+ÖNKORMÁNYZAT!BD92</f>
        <v>10376336</v>
      </c>
      <c r="BE92" s="501">
        <f>BÖLCSŐDE!BE92+FALUHÁZ!BE92+ÓVODA!BE92+PMH!BE92+ÖNKORMÁNYZAT!BE92</f>
        <v>11399881</v>
      </c>
      <c r="BF92" s="501">
        <f>BÖLCSŐDE!BF92+FALUHÁZ!BF92+ÓVODA!BF92+PMH!BF92+ÖNKORMÁNYZAT!BF92</f>
        <v>11773135</v>
      </c>
      <c r="BG92" s="383">
        <f>BÖLCSŐDE!BG92+FALUHÁZ!BG92+ÓVODA!BG92+PMH!BG92+ÖNKORMÁNYZAT!BG92</f>
        <v>14127762.000000002</v>
      </c>
      <c r="BH92" s="65">
        <f>BÖLCSŐDE!BH92+FALUHÁZ!BH92+ÓVODA!BH92+PMH!BH92+ÖNKORMÁNYZAT!BH92</f>
        <v>3150000</v>
      </c>
      <c r="BI92" s="65">
        <f>BÖLCSŐDE!BI92+FALUHÁZ!BI92+ÓVODA!BI92+PMH!BI92+ÖNKORMÁNYZAT!BI92</f>
        <v>3122081</v>
      </c>
      <c r="BJ92" s="65">
        <f>BÖLCSŐDE!BJ92+FALUHÁZ!BJ92+ÓVODA!BJ92+PMH!BJ92+ÖNKORMÁNYZAT!BJ92</f>
        <v>2561432</v>
      </c>
      <c r="BK92" s="65">
        <f>BÖLCSŐDE!BK92+FALUHÁZ!BK92+ÓVODA!BK92+PMH!BK92+ÖNKORMÁNYZAT!BK92</f>
        <v>2812432</v>
      </c>
      <c r="BL92" s="65">
        <f>BÖLCSŐDE!BL92+FALUHÁZ!BL92+ÓVODA!BL92+PMH!BL92+ÖNKORMÁNYZAT!BL92</f>
        <v>0</v>
      </c>
      <c r="BM92" s="222">
        <f>BÖLCSŐDE!BM92+FALUHÁZ!BM92+ÓVODA!BM92+PMH!BM92+ÖNKORMÁNYZAT!BM92</f>
        <v>0</v>
      </c>
      <c r="BN92" s="65">
        <f>BÖLCSŐDE!BN92+FALUHÁZ!BN92+ÓVODA!BN92+PMH!BN92+ÖNKORMÁNYZAT!BN92</f>
        <v>0</v>
      </c>
      <c r="BO92" s="65">
        <f>BÖLCSŐDE!BO92+FALUHÁZ!BO92+ÓVODA!BO92+PMH!BO92+ÖNKORMÁNYZAT!BO92</f>
        <v>4708132</v>
      </c>
      <c r="BP92" s="65">
        <f>BÖLCSŐDE!BP92+FALUHÁZ!BP92+ÓVODA!BP92+PMH!BP92+ÖNKORMÁNYZAT!BP92</f>
        <v>5649758.4000000004</v>
      </c>
      <c r="BQ92" s="65">
        <f>BÖLCSŐDE!BQ92+FALUHÁZ!BQ92+ÓVODA!BQ92+PMH!BQ92+ÖNKORMÁNYZAT!BQ92</f>
        <v>720720</v>
      </c>
      <c r="BR92" s="65">
        <f>BÖLCSŐDE!BR92+FALUHÁZ!BR92+ÓVODA!BR92+PMH!BR92+ÖNKORMÁNYZAT!BR92</f>
        <v>0</v>
      </c>
      <c r="BS92" s="65">
        <f>BÖLCSŐDE!BS92+FALUHÁZ!BS92+ÓVODA!BS92+PMH!BS92+ÖNKORMÁNYZAT!BS92</f>
        <v>0</v>
      </c>
      <c r="BT92" s="65">
        <f>BÖLCSŐDE!BT92+FALUHÁZ!BT92+ÓVODA!BT92+PMH!BT92+ÖNKORMÁNYZAT!BT92</f>
        <v>0</v>
      </c>
      <c r="BU92" s="65">
        <f>BÖLCSŐDE!BU92+FALUHÁZ!BU92+ÓVODA!BU92+PMH!BU92+ÖNKORMÁNYZAT!BU92</f>
        <v>4806614</v>
      </c>
      <c r="BV92" s="65">
        <f>BÖLCSŐDE!BV92+FALUHÁZ!BV92+ÓVODA!BV92+PMH!BV92+ÖNKORMÁNYZAT!BV92</f>
        <v>7320000</v>
      </c>
    </row>
    <row r="93" spans="1:74" x14ac:dyDescent="0.25">
      <c r="A93" s="54" t="s">
        <v>69</v>
      </c>
      <c r="B93" s="55" t="s">
        <v>171</v>
      </c>
      <c r="C93" s="55">
        <f>BÖLCSŐDE!C93+FALUHÁZ!C93+ÓVODA!C93+PMH!C93+ÖNKORMÁNYZAT!C93</f>
        <v>0</v>
      </c>
      <c r="D93" s="55">
        <f>BÖLCSŐDE!D93+FALUHÁZ!D93+ÓVODA!D93+PMH!D93+ÖNKORMÁNYZAT!D93</f>
        <v>162806</v>
      </c>
      <c r="E93" s="55">
        <f>BÖLCSŐDE!E93+FALUHÁZ!E93+ÓVODA!E93+PMH!E93+ÖNKORMÁNYZAT!E93</f>
        <v>0</v>
      </c>
      <c r="F93" s="55">
        <f>BÖLCSŐDE!F93+FALUHÁZ!F93+ÓVODA!F93+PMH!F93+ÖNKORMÁNYZAT!F93</f>
        <v>10384287</v>
      </c>
      <c r="G93" s="55">
        <f>BÖLCSŐDE!G93+FALUHÁZ!G93+ÓVODA!G93+PMH!G93+ÖNKORMÁNYZAT!G93</f>
        <v>14849119</v>
      </c>
      <c r="H93" s="55">
        <f>BÖLCSŐDE!H93+FALUHÁZ!H93+ÓVODA!H93+PMH!H93+ÖNKORMÁNYZAT!H93</f>
        <v>13919490</v>
      </c>
      <c r="I93" s="55">
        <f t="shared" si="14"/>
        <v>15184898.181818182</v>
      </c>
      <c r="J93" s="55">
        <v>39770197.706692927</v>
      </c>
      <c r="K93" s="55">
        <v>39589489.045275591</v>
      </c>
      <c r="L93" s="55">
        <f>BÖLCSŐDE!L93+FALUHÁZ!L93+ÓVODA!L93+PMH!L93+ÖNKORMÁNYZAT!L93</f>
        <v>39286886.212598428</v>
      </c>
      <c r="M93" s="1">
        <f t="shared" si="15"/>
        <v>258.72340889080868</v>
      </c>
      <c r="O93" s="55">
        <f>BÖLCSŐDE!O93+FALUHÁZ!N93+ÓVODA!O93+PMH!O93+ÖNKORMÁNYZAT!O93</f>
        <v>39629048</v>
      </c>
      <c r="P93" s="55">
        <f>BÖLCSŐDE!P93+FALUHÁZ!O93+ÓVODA!P93+PMH!P93+ÖNKORMÁNYZAT!P93</f>
        <v>28528059</v>
      </c>
      <c r="Q93" s="55">
        <f>BÖLCSŐDE!Q93+FALUHÁZ!P93+ÓVODA!Q93+PMH!Q93+ÖNKORMÁNYZAT!Q93</f>
        <v>28748406</v>
      </c>
      <c r="R93" s="55">
        <f>BÖLCSŐDE!R93+FALUHÁZ!Q93+ÓVODA!R93+PMH!R93+ÖNKORMÁNYZAT!R93</f>
        <v>0</v>
      </c>
      <c r="S93" s="55">
        <f>BÖLCSŐDE!S93+FALUHÁZ!R93+ÓVODA!S93+PMH!S93+ÖNKORMÁNYZAT!S93</f>
        <v>40171351</v>
      </c>
      <c r="T93" s="55">
        <f>BÖLCSŐDE!T93+FALUHÁZ!S93+ÓVODA!T93+PMH!T93+ÖNKORMÁNYZAT!T93</f>
        <v>35059986</v>
      </c>
      <c r="U93" s="55">
        <f>BÖLCSŐDE!U93+FALUHÁZ!T93+ÓVODA!U93+PMH!U93+ÖNKORMÁNYZAT!U93</f>
        <v>0</v>
      </c>
      <c r="V93" s="55">
        <f>BÖLCSŐDE!V93+FALUHÁZ!U93+ÓVODA!V93+PMH!V93+ÖNKORMÁNYZAT!V93</f>
        <v>0</v>
      </c>
      <c r="W93" s="55">
        <f>BÖLCSŐDE!W93+FALUHÁZ!V93+ÓVODA!W93+PMH!W93+ÖNKORMÁNYZAT!W93</f>
        <v>0</v>
      </c>
      <c r="X93" s="122"/>
      <c r="AA93" s="55">
        <f>BÖLCSŐDE!AA93+FALUHÁZ!Z93+ÓVODA!AA93+PMH!AA93+ÖNKORMÁNYZAT!AA93</f>
        <v>0</v>
      </c>
      <c r="AB93" s="55">
        <f>BÖLCSŐDE!AB93+FALUHÁZ!AA93+ÓVODA!AB93+PMH!AB93+ÖNKORMÁNYZAT!AB93</f>
        <v>15037490</v>
      </c>
      <c r="AC93" s="55">
        <f>BÖLCSŐDE!AB93+FALUHÁZ!AA93+ÓVODA!AB93+PMH!AB93+ÖNKORMÁNYZAT!AB93</f>
        <v>15037490</v>
      </c>
      <c r="AD93" s="55">
        <f>BÖLCSŐDE!AC93+FALUHÁZ!AB93+ÓVODA!AC93+PMH!AC93+ÖNKORMÁNYZAT!AC93</f>
        <v>13745270</v>
      </c>
      <c r="AE93" s="223">
        <f>BÖLCSŐDE!AE93+FALUHÁZ!AD93+ÓVODA!AE93+PMH!AE93+ÖNKORMÁNYZAT!AD93</f>
        <v>18761708</v>
      </c>
      <c r="AF93" s="122"/>
      <c r="AG93" s="55">
        <f>BÖLCSŐDE!AG92+FALUHÁZ!AG92+ÓVODA!AG92+PMH!AG92+ÖNKORMÁNYZAT!AG92</f>
        <v>15805918</v>
      </c>
      <c r="AH93" s="55"/>
      <c r="AI93" s="55">
        <f>BÖLCSŐDE!AI93+FALUHÁZ!AJ93+ÓVODA!AI93+PMH!AI93+ÖNKORMÁNYZAT!AI93</f>
        <v>169123945.7480315</v>
      </c>
      <c r="AJ93" s="55"/>
      <c r="AK93" s="55">
        <f>BÖLCSŐDE!AL93+FALUHÁZ!AK93+ÓVODA!AK93+PMH!AK93+ÖNKORMÁNYZAT!AK93</f>
        <v>137456967.67102364</v>
      </c>
      <c r="AM93" s="55">
        <f>BÖLCSŐDE!AM93+FALUHÁZ!AM93+ÓVODA!AM93+PMH!AM93+ÖNKORMÁNYZAT!AM93</f>
        <v>40540867</v>
      </c>
      <c r="AN93" s="55">
        <f>BÖLCSŐDE!AN93+FALUHÁZ!AN93+ÓVODA!AP93+PMH!AN93+ÖNKORMÁNYZAT!AP93</f>
        <v>70693659</v>
      </c>
      <c r="AO93" s="55">
        <f>BÖLCSŐDE!AO93+FALUHÁZ!AO93+ÓVODA!AQ93+PMH!AO93+ÖNKORMÁNYZAT!AQ93</f>
        <v>62794805</v>
      </c>
      <c r="AP93" s="55">
        <f>BÖLCSŐDE!AP93+FALUHÁZ!AP93+ÓVODA!AP93+PMH!AP93+ÖNKORMÁNYZAT!AP93</f>
        <v>71030572</v>
      </c>
      <c r="AQ93" s="55">
        <f>BÖLCSŐDE!AQ93+FALUHÁZ!AQ93+ÓVODA!AQ93+PMH!AQ93+ÖNKORMÁNYZAT!AQ93</f>
        <v>62816891</v>
      </c>
      <c r="AR93" s="55">
        <f t="shared" si="9"/>
        <v>8213681</v>
      </c>
      <c r="AS93" s="54">
        <f t="shared" si="10"/>
        <v>88.436414393509324</v>
      </c>
      <c r="AT93" s="55">
        <f>BÖLCSŐDE!AT93+FALUHÁZ!AT93+ÓVODA!AT93+PMH!AT93+ÖNKORMÁNYZAT!AT93</f>
        <v>66023469</v>
      </c>
      <c r="AU93" s="55">
        <f t="shared" si="11"/>
        <v>5007103</v>
      </c>
      <c r="AV93" s="54">
        <f t="shared" si="12"/>
        <v>7.0492224108796426</v>
      </c>
      <c r="AW93" s="55">
        <f>BÖLCSŐDE!AW93+FALUHÁZ!AW93+ÓVODA!AW93+PMH!AW93+ÖNKORMÁNYZAT!AW93</f>
        <v>139834881.16999999</v>
      </c>
      <c r="AX93" s="55">
        <f>BÖLCSŐDE!AX93+FALUHÁZ!AX93+ÓVODA!AX93+PMH!AX93+ÖNKORMÁNYZAT!AX93</f>
        <v>66392843.759999998</v>
      </c>
      <c r="AY93" s="55">
        <f>BÖLCSŐDE!AY93+FALUHÁZ!AY93+ÓVODA!AY93+PMH!AY93+ÖNKORMÁNYZAT!AY93</f>
        <v>59000674.677165359</v>
      </c>
      <c r="AZ93" s="55">
        <f>BÖLCSŐDE!AZ93+FALUHÁZ!AZ93+ÓVODA!AZ93+PMH!AZ93+ÖNKORMÁNYZAT!AZ93</f>
        <v>59000674.389133863</v>
      </c>
      <c r="BA93" s="55">
        <f>BÖLCSŐDE!BA93+FALUHÁZ!BA93+ÓVODA!BA93+PMH!BA93+ÖNKORMÁNYZAT!BA93</f>
        <v>59000674.389133863</v>
      </c>
      <c r="BB93" s="501">
        <f>BÖLCSŐDE!BB93+FALUHÁZ!BB93+ÓVODA!BB93+PMH!BB93+ÖNKORMÁNYZAT!BB93</f>
        <v>60701462</v>
      </c>
      <c r="BC93" s="501">
        <f>BÖLCSŐDE!BC93+FALUHÁZ!BC93+ÓVODA!BC93+PMH!BC93+ÖNKORMÁNYZAT!BC93</f>
        <v>49715205</v>
      </c>
      <c r="BD93" s="501">
        <f>BÖLCSŐDE!BD93+FALUHÁZ!BD93+ÓVODA!BD93+PMH!BD93+ÖNKORMÁNYZAT!BD93</f>
        <v>13761746</v>
      </c>
      <c r="BE93" s="501">
        <f>BÖLCSŐDE!BE93+FALUHÁZ!BE93+ÓVODA!BE93+PMH!BE93+ÖNKORMÁNYZAT!BE93</f>
        <v>16696924</v>
      </c>
      <c r="BF93" s="501">
        <f>BÖLCSŐDE!BF93+FALUHÁZ!BF93+ÓVODA!BF93+PMH!BF93+ÖNKORMÁNYZAT!BF93</f>
        <v>17440098</v>
      </c>
      <c r="BG93" s="383">
        <f>BÖLCSŐDE!BG93+FALUHÁZ!BG93+ÓVODA!BG93+PMH!BG93+ÖNKORMÁNYZAT!BG93</f>
        <v>20928117.599999998</v>
      </c>
      <c r="BH93" s="65">
        <f>BÖLCSŐDE!BH93+FALUHÁZ!BH93+ÓVODA!BH93+PMH!BH93+ÖNKORMÁNYZAT!BH93</f>
        <v>43152697</v>
      </c>
      <c r="BI93" s="65">
        <f>BÖLCSŐDE!BI93+FALUHÁZ!BI93+ÓVODA!BI93+PMH!BI93+ÖNKORMÁNYZAT!BI93</f>
        <v>89951633.980000004</v>
      </c>
      <c r="BJ93" s="65">
        <f>BÖLCSŐDE!BJ93+FALUHÁZ!BJ93+ÓVODA!BJ93+PMH!BJ93+ÖNKORMÁNYZAT!BJ93</f>
        <v>8897450</v>
      </c>
      <c r="BK93" s="65">
        <f>BÖLCSŐDE!BK93+FALUHÁZ!BK93+ÓVODA!BK93+PMH!BK93+ÖNKORMÁNYZAT!BK93</f>
        <v>13017080</v>
      </c>
      <c r="BL93" s="65">
        <f>BÖLCSŐDE!BL93+FALUHÁZ!BL93+ÓVODA!BL93+PMH!BL93+ÖNKORMÁNYZAT!BL93</f>
        <v>0</v>
      </c>
      <c r="BM93" s="222">
        <f>BÖLCSŐDE!BM93+FALUHÁZ!BM93+ÓVODA!BM93+PMH!BM93+ÖNKORMÁNYZAT!BM93</f>
        <v>77850996.210000008</v>
      </c>
      <c r="BN93" s="65">
        <f>BÖLCSŐDE!BN93+FALUHÁZ!BN93+ÓVODA!BN93+PMH!BN93+ÖNKORMÁNYZAT!BN93</f>
        <v>77850996.210000008</v>
      </c>
      <c r="BO93" s="65">
        <f>BÖLCSŐDE!BO93+FALUHÁZ!BO93+ÓVODA!BO93+PMH!BO93+ÖNKORMÁNYZAT!BO93</f>
        <v>8116561</v>
      </c>
      <c r="BP93" s="65">
        <f>BÖLCSŐDE!BP93+FALUHÁZ!BP93+ÓVODA!BP93+PMH!BP93+ÖNKORMÁNYZAT!BP93</f>
        <v>9739873.1999999993</v>
      </c>
      <c r="BQ93" s="65">
        <f>BÖLCSŐDE!BQ93+FALUHÁZ!BQ93+ÓVODA!BQ93+PMH!BQ93+ÖNKORMÁNYZAT!BQ93</f>
        <v>194594.40000000002</v>
      </c>
      <c r="BR93" s="65">
        <f>BÖLCSŐDE!BR93+FALUHÁZ!BR93+ÓVODA!BR93+PMH!BR93+ÖNKORMÁNYZAT!BR93</f>
        <v>210601533</v>
      </c>
      <c r="BS93" s="65">
        <f>BÖLCSŐDE!BS93+FALUHÁZ!BS93+ÓVODA!BS93+PMH!BS93+ÖNKORMÁNYZAT!BS93</f>
        <v>206642498</v>
      </c>
      <c r="BT93" s="65">
        <f>BÖLCSŐDE!BT93+FALUHÁZ!BT93+ÓVODA!BT93+PMH!BT93+ÖNKORMÁNYZAT!BT93</f>
        <v>210476710.55905512</v>
      </c>
      <c r="BU93" s="65">
        <f>BÖLCSŐDE!BU93+FALUHÁZ!BU93+ÓVODA!BU93+PMH!BU93+ÖNKORMÁNYZAT!BU93</f>
        <v>2757123</v>
      </c>
      <c r="BV93" s="65">
        <f>BÖLCSŐDE!BV93+FALUHÁZ!BV93+ÓVODA!BV93+PMH!BV93+ÖNKORMÁNYZAT!BV93</f>
        <v>7537000</v>
      </c>
    </row>
    <row r="94" spans="1:74" x14ac:dyDescent="0.25">
      <c r="A94" s="54" t="s">
        <v>70</v>
      </c>
      <c r="B94" s="55" t="s">
        <v>172</v>
      </c>
      <c r="C94" s="55">
        <f>BÖLCSŐDE!C94+FALUHÁZ!C94+ÓVODA!C94+PMH!C94+ÖNKORMÁNYZAT!C94</f>
        <v>0</v>
      </c>
      <c r="D94" s="55">
        <f>BÖLCSŐDE!D94+FALUHÁZ!D94+ÓVODA!D94+PMH!D94+ÖNKORMÁNYZAT!D94</f>
        <v>0</v>
      </c>
      <c r="E94" s="55">
        <f>BÖLCSŐDE!E94+FALUHÁZ!E94+ÓVODA!E94+PMH!E94+ÖNKORMÁNYZAT!E94</f>
        <v>0</v>
      </c>
      <c r="F94" s="55">
        <f>BÖLCSŐDE!F94+FALUHÁZ!F94+ÓVODA!F94+PMH!F94+ÖNKORMÁNYZAT!F94</f>
        <v>26991630</v>
      </c>
      <c r="G94" s="55">
        <f>BÖLCSŐDE!G94+FALUHÁZ!G94+ÓVODA!G94+PMH!G94+ÖNKORMÁNYZAT!G94</f>
        <v>26294030</v>
      </c>
      <c r="H94" s="55">
        <f>BÖLCSŐDE!H94+FALUHÁZ!H94+ÓVODA!H94+PMH!H94+ÖNKORMÁNYZAT!H94</f>
        <v>26294030</v>
      </c>
      <c r="I94" s="55">
        <f t="shared" si="14"/>
        <v>28684396.363636363</v>
      </c>
      <c r="J94" s="55">
        <v>0</v>
      </c>
      <c r="K94" s="55">
        <v>0</v>
      </c>
      <c r="L94" s="55">
        <f>BÖLCSŐDE!L94+FALUHÁZ!L94+ÓVODA!L94+PMH!L94+ÖNKORMÁNYZAT!L94</f>
        <v>0</v>
      </c>
      <c r="M94" s="1">
        <f t="shared" si="15"/>
        <v>0</v>
      </c>
      <c r="O94" s="55">
        <f>BÖLCSŐDE!O94+FALUHÁZ!N94+ÓVODA!O94+PMH!O94+ÖNKORMÁNYZAT!O94</f>
        <v>0</v>
      </c>
      <c r="P94" s="55">
        <f>BÖLCSŐDE!P94+FALUHÁZ!O94+ÓVODA!P94+PMH!P94+ÖNKORMÁNYZAT!P94</f>
        <v>0</v>
      </c>
      <c r="Q94" s="55">
        <f>BÖLCSŐDE!Q94+FALUHÁZ!P94+ÓVODA!Q94+PMH!Q94+ÖNKORMÁNYZAT!Q94</f>
        <v>0</v>
      </c>
      <c r="R94" s="55">
        <f>BÖLCSŐDE!R94+FALUHÁZ!Q94+ÓVODA!R94+PMH!R94+ÖNKORMÁNYZAT!R94</f>
        <v>0</v>
      </c>
      <c r="S94" s="55">
        <f>BÖLCSŐDE!S94+FALUHÁZ!R94+ÓVODA!S94+PMH!S94+ÖNKORMÁNYZAT!S94</f>
        <v>0</v>
      </c>
      <c r="T94" s="55">
        <f>BÖLCSŐDE!T94+FALUHÁZ!S94+ÓVODA!T94+PMH!T94+ÖNKORMÁNYZAT!T94</f>
        <v>0</v>
      </c>
      <c r="U94" s="55">
        <f>BÖLCSŐDE!U94+FALUHÁZ!T94+ÓVODA!U94+PMH!U94+ÖNKORMÁNYZAT!U94</f>
        <v>0</v>
      </c>
      <c r="V94" s="55">
        <f>BÖLCSŐDE!V94+FALUHÁZ!U94+ÓVODA!V94+PMH!V94+ÖNKORMÁNYZAT!V94</f>
        <v>0</v>
      </c>
      <c r="W94" s="55">
        <f>BÖLCSŐDE!W94+FALUHÁZ!V94+ÓVODA!W94+PMH!W94+ÖNKORMÁNYZAT!W94</f>
        <v>0</v>
      </c>
      <c r="X94" s="122"/>
      <c r="AA94" s="55">
        <f>BÖLCSŐDE!AA94+FALUHÁZ!Z94+ÓVODA!AA94+PMH!AA94+ÖNKORMÁNYZAT!AA94</f>
        <v>0</v>
      </c>
      <c r="AB94" s="55">
        <f>BÖLCSŐDE!AB94+FALUHÁZ!AA94+ÓVODA!AB94+PMH!AB94+ÖNKORMÁNYZAT!AB94</f>
        <v>0</v>
      </c>
      <c r="AC94" s="55">
        <f>BÖLCSŐDE!AB94+FALUHÁZ!AA94+ÓVODA!AB94+PMH!AB94+ÖNKORMÁNYZAT!AB94</f>
        <v>0</v>
      </c>
      <c r="AD94" s="55">
        <f>BÖLCSŐDE!AC94+FALUHÁZ!AB94+ÓVODA!AC94+PMH!AC94+ÖNKORMÁNYZAT!AC94</f>
        <v>0</v>
      </c>
      <c r="AE94" s="223">
        <f>BÖLCSŐDE!AE94+FALUHÁZ!AD94+ÓVODA!AE94+PMH!AE94+ÖNKORMÁNYZAT!AD94</f>
        <v>0</v>
      </c>
      <c r="AF94" s="122"/>
      <c r="AG94" s="55">
        <f>BÖLCSŐDE!AG93+FALUHÁZ!AG93+ÓVODA!AG93+PMH!AG93+ÖNKORMÁNYZAT!AG93</f>
        <v>26418174</v>
      </c>
      <c r="AH94" s="55"/>
      <c r="AI94" s="55">
        <f>BÖLCSŐDE!AI94+FALUHÁZ!AJ94+ÓVODA!AI94+PMH!AI94+ÖNKORMÁNYZAT!AI94</f>
        <v>0</v>
      </c>
      <c r="AJ94" s="55"/>
      <c r="AK94" s="55">
        <f>BÖLCSŐDE!AL94+FALUHÁZ!AK94+ÓVODA!AK94+PMH!AK94+ÖNKORMÁNYZAT!AK94</f>
        <v>0</v>
      </c>
      <c r="AM94" s="55">
        <f>BÖLCSŐDE!AM94+FALUHÁZ!AM94+ÓVODA!AM94+PMH!AM94+ÖNKORMÁNYZAT!AM94</f>
        <v>0</v>
      </c>
      <c r="AN94" s="55">
        <f>BÖLCSŐDE!AN94+FALUHÁZ!AN94+ÓVODA!AP94+PMH!AN94+ÖNKORMÁNYZAT!AP94</f>
        <v>0</v>
      </c>
      <c r="AO94" s="55">
        <f>BÖLCSŐDE!AO94+FALUHÁZ!AO94+ÓVODA!AQ94+PMH!AO94+ÖNKORMÁNYZAT!AQ94</f>
        <v>0</v>
      </c>
      <c r="AP94" s="55">
        <f>BÖLCSŐDE!AP94+FALUHÁZ!AP94+ÓVODA!AP94+PMH!AP94+ÖNKORMÁNYZAT!AP94</f>
        <v>0</v>
      </c>
      <c r="AQ94" s="55">
        <f>BÖLCSŐDE!AQ94+FALUHÁZ!AQ94+ÓVODA!AQ94+PMH!AQ94+ÖNKORMÁNYZAT!AQ94</f>
        <v>0</v>
      </c>
      <c r="AR94" s="55">
        <f t="shared" si="9"/>
        <v>0</v>
      </c>
      <c r="AS94" s="54"/>
      <c r="AT94" s="55">
        <f>BÖLCSŐDE!AT94+FALUHÁZ!AT94+ÓVODA!AT94+PMH!AT94+ÖNKORMÁNYZAT!AT94</f>
        <v>0</v>
      </c>
      <c r="AU94" s="55"/>
      <c r="AV94" s="54"/>
      <c r="AW94" s="55">
        <f>BÖLCSŐDE!AW94+FALUHÁZ!AW94+ÓVODA!AW94+PMH!AW94+ÖNKORMÁNYZAT!AW94</f>
        <v>0</v>
      </c>
      <c r="AX94" s="55">
        <f>BÖLCSŐDE!AX94+FALUHÁZ!AX94+ÓVODA!AX94+PMH!AX94+ÖNKORMÁNYZAT!AX94</f>
        <v>0</v>
      </c>
      <c r="AY94" s="55">
        <f>BÖLCSŐDE!AY94+FALUHÁZ!AY94+ÓVODA!AY94+PMH!AY94+ÖNKORMÁNYZAT!AY94</f>
        <v>0</v>
      </c>
      <c r="AZ94" s="55">
        <f>BÖLCSŐDE!AZ94+FALUHÁZ!AZ94+ÓVODA!AZ94+PMH!AZ94+ÖNKORMÁNYZAT!AZ94</f>
        <v>0</v>
      </c>
      <c r="BA94" s="55">
        <f>BÖLCSŐDE!BA94+FALUHÁZ!BA94+ÓVODA!BA94+PMH!BA94+ÖNKORMÁNYZAT!BA94</f>
        <v>0</v>
      </c>
      <c r="BB94" s="501">
        <f>BÖLCSŐDE!BB94+FALUHÁZ!BB94+ÓVODA!BB94+PMH!BB94+ÖNKORMÁNYZAT!BB94</f>
        <v>0</v>
      </c>
      <c r="BC94" s="501">
        <f>BÖLCSŐDE!BC94+FALUHÁZ!BC94+ÓVODA!BC94+PMH!BC94+ÖNKORMÁNYZAT!BC94</f>
        <v>0</v>
      </c>
      <c r="BD94" s="501">
        <f>BÖLCSŐDE!BD94+FALUHÁZ!BD94+ÓVODA!BD94+PMH!BD94+ÖNKORMÁNYZAT!BD94</f>
        <v>0</v>
      </c>
      <c r="BE94" s="501">
        <f>BÖLCSŐDE!BE94+FALUHÁZ!BE94+ÓVODA!BE94+PMH!BE94+ÖNKORMÁNYZAT!BE94</f>
        <v>0</v>
      </c>
      <c r="BF94" s="501">
        <f>BÖLCSŐDE!BF94+FALUHÁZ!BF94+ÓVODA!BF94+PMH!BF94+ÖNKORMÁNYZAT!BF94</f>
        <v>0</v>
      </c>
      <c r="BG94" s="383">
        <f>BÖLCSŐDE!BG94+FALUHÁZ!BG94+ÓVODA!BG94+PMH!BG94+ÖNKORMÁNYZAT!BG94</f>
        <v>0</v>
      </c>
      <c r="BH94" s="65">
        <f>BÖLCSŐDE!BH94+FALUHÁZ!BH94+ÓVODA!BH94+PMH!BH94+ÖNKORMÁNYZAT!BH94</f>
        <v>0</v>
      </c>
      <c r="BI94" s="65">
        <f>BÖLCSŐDE!BI94+FALUHÁZ!BI94+ÓVODA!BI94+PMH!BI94+ÖNKORMÁNYZAT!BI94</f>
        <v>15767529</v>
      </c>
      <c r="BJ94" s="65">
        <f>BÖLCSŐDE!BJ94+FALUHÁZ!BJ94+ÓVODA!BJ94+PMH!BJ94+ÖNKORMÁNYZAT!BJ94</f>
        <v>15295381</v>
      </c>
      <c r="BK94" s="65">
        <f>BÖLCSŐDE!BK94+FALUHÁZ!BK94+ÓVODA!BK94+PMH!BK94+ÖNKORMÁNYZAT!BK94</f>
        <v>18061834</v>
      </c>
      <c r="BL94" s="65">
        <f>BÖLCSŐDE!BL94+FALUHÁZ!BL94+ÓVODA!BL94+PMH!BL94+ÖNKORMÁNYZAT!BL94</f>
        <v>0</v>
      </c>
      <c r="BM94" s="222">
        <f>BÖLCSŐDE!BM94+FALUHÁZ!BM94+ÓVODA!BM94+PMH!BM94+ÖNKORMÁNYZAT!BM94</f>
        <v>0</v>
      </c>
      <c r="BN94" s="65">
        <f>BÖLCSŐDE!BN94+FALUHÁZ!BN94+ÓVODA!BN94+PMH!BN94+ÖNKORMÁNYZAT!BN94</f>
        <v>0</v>
      </c>
      <c r="BO94" s="65">
        <f>BÖLCSŐDE!BO94+FALUHÁZ!BO94+ÓVODA!BO94+PMH!BO94+ÖNKORMÁNYZAT!BO94</f>
        <v>31324914</v>
      </c>
      <c r="BP94" s="65">
        <f>BÖLCSŐDE!BP94+FALUHÁZ!BP94+ÓVODA!BP94+PMH!BP94+ÖNKORMÁNYZAT!BP94</f>
        <v>37589896.799999997</v>
      </c>
      <c r="BQ94" s="65">
        <f>BÖLCSŐDE!BQ94+FALUHÁZ!BQ94+ÓVODA!BQ94+PMH!BQ94+ÖNKORMÁNYZAT!BQ94</f>
        <v>680169.60000000009</v>
      </c>
      <c r="BR94" s="65">
        <f>BÖLCSŐDE!BR94+FALUHÁZ!BR94+ÓVODA!BR94+PMH!BR94+ÖNKORMÁNYZAT!BR94</f>
        <v>0</v>
      </c>
      <c r="BS94" s="65">
        <f>BÖLCSŐDE!BS94+FALUHÁZ!BS94+ÓVODA!BS94+PMH!BS94+ÖNKORMÁNYZAT!BS94</f>
        <v>0</v>
      </c>
      <c r="BT94" s="65">
        <f>BÖLCSŐDE!BT94+FALUHÁZ!BT94+ÓVODA!BT94+PMH!BT94+ÖNKORMÁNYZAT!BT94</f>
        <v>0</v>
      </c>
      <c r="BU94" s="65">
        <f>BÖLCSŐDE!BU94+FALUHÁZ!BU94+ÓVODA!BU94+PMH!BU94+ÖNKORMÁNYZAT!BU94</f>
        <v>5738189</v>
      </c>
      <c r="BV94" s="65">
        <f>BÖLCSŐDE!BV94+FALUHÁZ!BV94+ÓVODA!BV94+PMH!BV94+ÖNKORMÁNYZAT!BV94</f>
        <v>9500000</v>
      </c>
    </row>
    <row r="95" spans="1:74" x14ac:dyDescent="0.25">
      <c r="A95" s="54" t="s">
        <v>239</v>
      </c>
      <c r="B95" s="55" t="s">
        <v>240</v>
      </c>
      <c r="C95" s="55"/>
      <c r="D95" s="55"/>
      <c r="E95" s="55"/>
      <c r="F95" s="55"/>
      <c r="G95" s="55">
        <f>BÖLCSŐDE!G95+FALUHÁZ!G95+ÓVODA!G95+PMH!G95+ÖNKORMÁNYZAT!G95</f>
        <v>697600</v>
      </c>
      <c r="H95" s="55">
        <f>BÖLCSŐDE!H95+FALUHÁZ!H95+ÓVODA!H95+PMH!H95+ÖNKORMÁNYZAT!H95</f>
        <v>697600</v>
      </c>
      <c r="I95" s="55">
        <f t="shared" si="14"/>
        <v>761018.18181818177</v>
      </c>
      <c r="J95" s="55">
        <v>0</v>
      </c>
      <c r="K95" s="55">
        <v>0</v>
      </c>
      <c r="L95" s="55">
        <f>BÖLCSŐDE!L95+FALUHÁZ!L95+ÓVODA!L95+PMH!L95+ÖNKORMÁNYZAT!L95</f>
        <v>0</v>
      </c>
      <c r="M95" s="1">
        <f t="shared" si="15"/>
        <v>0</v>
      </c>
      <c r="O95" s="55">
        <f>BÖLCSŐDE!O95+FALUHÁZ!N95+ÓVODA!O95+PMH!O95+ÖNKORMÁNYZAT!O95</f>
        <v>0</v>
      </c>
      <c r="P95" s="55">
        <f>BÖLCSŐDE!P95+FALUHÁZ!O95+ÓVODA!P95+PMH!P95+ÖNKORMÁNYZAT!P95</f>
        <v>0</v>
      </c>
      <c r="Q95" s="55">
        <f>BÖLCSŐDE!Q95+FALUHÁZ!P95+ÓVODA!Q95+PMH!Q95+ÖNKORMÁNYZAT!Q95</f>
        <v>0</v>
      </c>
      <c r="R95" s="55">
        <f>BÖLCSŐDE!R95+FALUHÁZ!Q95+ÓVODA!R95+PMH!R95+ÖNKORMÁNYZAT!R95</f>
        <v>0</v>
      </c>
      <c r="S95" s="55">
        <f>BÖLCSŐDE!S95+FALUHÁZ!R95+ÓVODA!S95+PMH!S95+ÖNKORMÁNYZAT!S95</f>
        <v>0</v>
      </c>
      <c r="T95" s="55">
        <f>BÖLCSŐDE!T95+FALUHÁZ!S95+ÓVODA!T95+PMH!T95+ÖNKORMÁNYZAT!T95</f>
        <v>0</v>
      </c>
      <c r="U95" s="55">
        <f>BÖLCSŐDE!U95+FALUHÁZ!T95+ÓVODA!U95+PMH!U95+ÖNKORMÁNYZAT!U95</f>
        <v>0</v>
      </c>
      <c r="V95" s="55">
        <f>BÖLCSŐDE!V95+FALUHÁZ!U95+ÓVODA!V95+PMH!V95+ÖNKORMÁNYZAT!V95</f>
        <v>0</v>
      </c>
      <c r="W95" s="55">
        <f>BÖLCSŐDE!W95+FALUHÁZ!V95+ÓVODA!W95+PMH!W95+ÖNKORMÁNYZAT!W95</f>
        <v>0</v>
      </c>
      <c r="X95" s="122"/>
      <c r="AA95" s="55">
        <f>BÖLCSŐDE!AA95+FALUHÁZ!Z95+ÓVODA!AA95+PMH!AA95+ÖNKORMÁNYZAT!AA95</f>
        <v>0</v>
      </c>
      <c r="AB95" s="55">
        <f>BÖLCSŐDE!AB95+FALUHÁZ!AA95+ÓVODA!AB95+PMH!AB95+ÖNKORMÁNYZAT!AB95</f>
        <v>0</v>
      </c>
      <c r="AC95" s="55">
        <f>BÖLCSŐDE!AB95+FALUHÁZ!AA95+ÓVODA!AB95+PMH!AB95+ÖNKORMÁNYZAT!AB95</f>
        <v>0</v>
      </c>
      <c r="AD95" s="55">
        <f>BÖLCSŐDE!AC95+FALUHÁZ!AB95+ÓVODA!AC95+PMH!AC95+ÖNKORMÁNYZAT!AC95</f>
        <v>0</v>
      </c>
      <c r="AE95" s="223">
        <f>BÖLCSŐDE!AE95+FALUHÁZ!AD95+ÓVODA!AE95+PMH!AE95+ÖNKORMÁNYZAT!AD95</f>
        <v>0</v>
      </c>
      <c r="AF95" s="122"/>
      <c r="AG95" s="55">
        <f>BÖLCSŐDE!AG94+FALUHÁZ!AG94+ÓVODA!AG94+PMH!AG94+ÖNKORMÁNYZAT!AG94</f>
        <v>0</v>
      </c>
      <c r="AH95" s="55"/>
      <c r="AI95" s="55">
        <f>BÖLCSŐDE!AI95+FALUHÁZ!AJ95+ÓVODA!AI95+PMH!AI95+ÖNKORMÁNYZAT!AI95</f>
        <v>0</v>
      </c>
      <c r="AJ95" s="55"/>
      <c r="AK95" s="55">
        <f>BÖLCSŐDE!AL95+FALUHÁZ!AK95+ÓVODA!AK95+PMH!AK95+ÖNKORMÁNYZAT!AK95</f>
        <v>0</v>
      </c>
      <c r="AM95" s="55">
        <f>BÖLCSŐDE!AM95+FALUHÁZ!AM95+ÓVODA!AM95+PMH!AM95+ÖNKORMÁNYZAT!AM95</f>
        <v>0</v>
      </c>
      <c r="AN95" s="55">
        <f>BÖLCSŐDE!AN95+FALUHÁZ!AN95+ÓVODA!AP95+PMH!AN95+ÖNKORMÁNYZAT!AP95</f>
        <v>0</v>
      </c>
      <c r="AO95" s="55">
        <f>BÖLCSŐDE!AO95+FALUHÁZ!AO95+ÓVODA!AQ95+PMH!AO95+ÖNKORMÁNYZAT!AQ95</f>
        <v>0</v>
      </c>
      <c r="AP95" s="55">
        <f>BÖLCSŐDE!AP95+FALUHÁZ!AP95+ÓVODA!AP95+PMH!AP95+ÖNKORMÁNYZAT!AP95</f>
        <v>0</v>
      </c>
      <c r="AQ95" s="55">
        <f>BÖLCSŐDE!AQ95+FALUHÁZ!AQ95+ÓVODA!AQ95+PMH!AQ95+ÖNKORMÁNYZAT!AQ95</f>
        <v>0</v>
      </c>
      <c r="AR95" s="55">
        <f t="shared" si="9"/>
        <v>0</v>
      </c>
      <c r="AS95" s="54"/>
      <c r="AT95" s="55">
        <f>BÖLCSŐDE!AT95+FALUHÁZ!AT95+ÓVODA!AT95+PMH!AT95+ÖNKORMÁNYZAT!AT95</f>
        <v>0</v>
      </c>
      <c r="AU95" s="55"/>
      <c r="AV95" s="54"/>
      <c r="AW95" s="55">
        <f>BÖLCSŐDE!AW95+FALUHÁZ!AW95+ÓVODA!AW95+PMH!AW95+ÖNKORMÁNYZAT!AW95</f>
        <v>0</v>
      </c>
      <c r="AX95" s="55">
        <f>BÖLCSŐDE!AX95+FALUHÁZ!AX95+ÓVODA!AX95+PMH!AX95+ÖNKORMÁNYZAT!AX95</f>
        <v>0</v>
      </c>
      <c r="AY95" s="55">
        <f>BÖLCSŐDE!AY95+FALUHÁZ!AY95+ÓVODA!AY95+PMH!AY95+ÖNKORMÁNYZAT!AY95</f>
        <v>0</v>
      </c>
      <c r="AZ95" s="55">
        <f>BÖLCSŐDE!AZ95+FALUHÁZ!AZ95+ÓVODA!AZ95+PMH!AZ95+ÖNKORMÁNYZAT!AZ95</f>
        <v>0</v>
      </c>
      <c r="BA95" s="55">
        <f>BÖLCSŐDE!BA95+FALUHÁZ!BA95+ÓVODA!BA95+PMH!BA95+ÖNKORMÁNYZAT!BA95</f>
        <v>0</v>
      </c>
      <c r="BB95" s="501">
        <f>BÖLCSŐDE!BB95+FALUHÁZ!BB95+ÓVODA!BB95+PMH!BB95+ÖNKORMÁNYZAT!BB95</f>
        <v>0</v>
      </c>
      <c r="BC95" s="501">
        <f>BÖLCSŐDE!BC95+FALUHÁZ!BC95+ÓVODA!BC95+PMH!BC95+ÖNKORMÁNYZAT!BC95</f>
        <v>0</v>
      </c>
      <c r="BD95" s="501">
        <f>BÖLCSŐDE!BD95+FALUHÁZ!BD95+ÓVODA!BD95+PMH!BD95+ÖNKORMÁNYZAT!BD95</f>
        <v>0</v>
      </c>
      <c r="BE95" s="501">
        <f>BÖLCSŐDE!BE95+FALUHÁZ!BE95+ÓVODA!BE95+PMH!BE95+ÖNKORMÁNYZAT!BE95</f>
        <v>0</v>
      </c>
      <c r="BF95" s="501">
        <f>BÖLCSŐDE!BF95+FALUHÁZ!BF95+ÓVODA!BF95+PMH!BF95+ÖNKORMÁNYZAT!BF95</f>
        <v>0</v>
      </c>
      <c r="BG95" s="383">
        <f>BÖLCSŐDE!BG95+FALUHÁZ!BG95+ÓVODA!BG95+PMH!BG95+ÖNKORMÁNYZAT!BG95</f>
        <v>0</v>
      </c>
      <c r="BH95" s="65">
        <f>BÖLCSŐDE!BH95+FALUHÁZ!BH95+ÓVODA!BH95+PMH!BH95+ÖNKORMÁNYZAT!BH95</f>
        <v>0</v>
      </c>
      <c r="BI95" s="65">
        <f>BÖLCSŐDE!BI95+FALUHÁZ!BI95+ÓVODA!BI95+PMH!BI95+ÖNKORMÁNYZAT!BI95</f>
        <v>11000000</v>
      </c>
      <c r="BJ95" s="65">
        <f>BÖLCSŐDE!BJ95+FALUHÁZ!BJ95+ÓVODA!BJ95+PMH!BJ95+ÖNKORMÁNYZAT!BJ95</f>
        <v>2338582</v>
      </c>
      <c r="BK95" s="65">
        <f>BÖLCSŐDE!BK95+FALUHÁZ!BK95+ÓVODA!BK95+PMH!BK95+ÖNKORMÁNYZAT!BK95</f>
        <v>2338582</v>
      </c>
      <c r="BL95" s="65">
        <f>BÖLCSŐDE!BL95+FALUHÁZ!BL95+ÓVODA!BL95+PMH!BL95+ÖNKORMÁNYZAT!BL95</f>
        <v>0</v>
      </c>
      <c r="BM95" s="65">
        <f>BÖLCSŐDE!BM95+FALUHÁZ!BM95+ÓVODA!BM95+PMH!BM95+ÖNKORMÁNYZAT!BM95</f>
        <v>0</v>
      </c>
      <c r="BN95" s="65">
        <f>BÖLCSŐDE!BN95+FALUHÁZ!BN95+ÓVODA!BN95+PMH!BN95+ÖNKORMÁNYZAT!BN95</f>
        <v>0</v>
      </c>
      <c r="BO95" s="65">
        <f>BÖLCSŐDE!BO95+FALUHÁZ!BO95+ÓVODA!BO95+PMH!BO95+ÖNKORMÁNYZAT!BO95</f>
        <v>5957720</v>
      </c>
      <c r="BP95" s="65">
        <f>BÖLCSŐDE!BP95+FALUHÁZ!BP95+ÓVODA!BP95+PMH!BP95+ÖNKORMÁNYZAT!BP95</f>
        <v>7149264</v>
      </c>
      <c r="BQ95" s="65">
        <f>BÖLCSŐDE!BQ95+FALUHÁZ!BQ95+ÓVODA!BQ95+PMH!BQ95+ÖNKORMÁNYZAT!BQ95</f>
        <v>0</v>
      </c>
      <c r="BR95" s="65">
        <f>BÖLCSŐDE!BR95+FALUHÁZ!BR95+ÓVODA!BR95+PMH!BR95+ÖNKORMÁNYZAT!BR95</f>
        <v>0</v>
      </c>
      <c r="BS95" s="65">
        <f>BÖLCSŐDE!BS95+FALUHÁZ!BS95+ÓVODA!BS95+PMH!BS95+ÖNKORMÁNYZAT!BS95</f>
        <v>0</v>
      </c>
      <c r="BT95" s="65">
        <f>BÖLCSŐDE!BT95+FALUHÁZ!BT95+ÓVODA!BT95+PMH!BT95+ÖNKORMÁNYZAT!BT95</f>
        <v>0</v>
      </c>
      <c r="BU95" s="65">
        <f>BÖLCSŐDE!BU95+FALUHÁZ!BU95+ÓVODA!BU95+PMH!BU95+ÖNKORMÁNYZAT!BU95</f>
        <v>0</v>
      </c>
      <c r="BV95" s="65">
        <f>BÖLCSŐDE!BV95+FALUHÁZ!BV95+ÓVODA!BV95+PMH!BV95+ÖNKORMÁNYZAT!BV95</f>
        <v>3991000</v>
      </c>
    </row>
    <row r="96" spans="1:74" x14ac:dyDescent="0.25">
      <c r="A96" s="54" t="s">
        <v>71</v>
      </c>
      <c r="B96" s="55" t="s">
        <v>173</v>
      </c>
      <c r="C96" s="55">
        <f>BÖLCSŐDE!C96+FALUHÁZ!C96+ÓVODA!C96+PMH!C96+ÖNKORMÁNYZAT!C96</f>
        <v>0</v>
      </c>
      <c r="D96" s="55">
        <f>BÖLCSŐDE!D96+FALUHÁZ!D96+ÓVODA!D96+PMH!D96+ÖNKORMÁNYZAT!D96</f>
        <v>0</v>
      </c>
      <c r="E96" s="55">
        <f>BÖLCSŐDE!E96+FALUHÁZ!E96+ÓVODA!E96+PMH!E96+ÖNKORMÁNYZAT!E96</f>
        <v>0</v>
      </c>
      <c r="F96" s="55">
        <f>BÖLCSŐDE!F96+FALUHÁZ!F96+ÓVODA!F96+PMH!F96+ÖNKORMÁNYZAT!F96</f>
        <v>19286665</v>
      </c>
      <c r="G96" s="55">
        <f>BÖLCSŐDE!G96+FALUHÁZ!G96+ÓVODA!G96+PMH!G96+ÖNKORMÁNYZAT!G96</f>
        <v>5641819</v>
      </c>
      <c r="H96" s="55">
        <f>BÖLCSŐDE!H96+FALUHÁZ!H96+ÓVODA!H96+PMH!H96+ÖNKORMÁNYZAT!H96</f>
        <v>5641819</v>
      </c>
      <c r="I96" s="55">
        <f t="shared" si="14"/>
        <v>6154711.6363636367</v>
      </c>
      <c r="J96" s="55">
        <v>0</v>
      </c>
      <c r="K96" s="55">
        <v>0</v>
      </c>
      <c r="L96" s="55">
        <f>BÖLCSŐDE!L96+FALUHÁZ!L96+ÓVODA!L96+PMH!L96+ÖNKORMÁNYZAT!L96</f>
        <v>0</v>
      </c>
      <c r="M96" s="1">
        <f t="shared" si="15"/>
        <v>0</v>
      </c>
      <c r="O96" s="55">
        <f>BÖLCSŐDE!O96+FALUHÁZ!N96+ÓVODA!O96+PMH!O96+ÖNKORMÁNYZAT!O96</f>
        <v>0</v>
      </c>
      <c r="P96" s="55">
        <f>BÖLCSŐDE!P96+FALUHÁZ!O96+ÓVODA!P96+PMH!P96+ÖNKORMÁNYZAT!P96</f>
        <v>0</v>
      </c>
      <c r="Q96" s="55">
        <f>BÖLCSŐDE!Q96+FALUHÁZ!P96+ÓVODA!Q96+PMH!Q96+ÖNKORMÁNYZAT!Q96</f>
        <v>0</v>
      </c>
      <c r="R96" s="55">
        <f>BÖLCSŐDE!R96+FALUHÁZ!Q96+ÓVODA!R96+PMH!R96+ÖNKORMÁNYZAT!R96</f>
        <v>0</v>
      </c>
      <c r="S96" s="55">
        <f>BÖLCSŐDE!S96+FALUHÁZ!R96+ÓVODA!S96+PMH!S96+ÖNKORMÁNYZAT!S96</f>
        <v>0</v>
      </c>
      <c r="T96" s="55">
        <f>BÖLCSŐDE!T96+FALUHÁZ!S96+ÓVODA!T96+PMH!T96+ÖNKORMÁNYZAT!T96</f>
        <v>0</v>
      </c>
      <c r="U96" s="55">
        <f>BÖLCSŐDE!U96+FALUHÁZ!T96+ÓVODA!U96+PMH!U96+ÖNKORMÁNYZAT!U96</f>
        <v>0</v>
      </c>
      <c r="V96" s="55">
        <f>BÖLCSŐDE!V96+FALUHÁZ!U96+ÓVODA!V96+PMH!V96+ÖNKORMÁNYZAT!V96</f>
        <v>0</v>
      </c>
      <c r="W96" s="55">
        <f>BÖLCSŐDE!W96+FALUHÁZ!V96+ÓVODA!W96+PMH!W96+ÖNKORMÁNYZAT!W96</f>
        <v>0</v>
      </c>
      <c r="X96" s="122"/>
      <c r="AA96" s="55">
        <f>BÖLCSŐDE!AA96+FALUHÁZ!Z96+ÓVODA!AA96+PMH!AA96+ÖNKORMÁNYZAT!AA96</f>
        <v>0</v>
      </c>
      <c r="AB96" s="55">
        <f>BÖLCSŐDE!AB96+FALUHÁZ!AA96+ÓVODA!AB96+PMH!AB96+ÖNKORMÁNYZAT!AB96</f>
        <v>0</v>
      </c>
      <c r="AC96" s="55">
        <f>BÖLCSŐDE!AB96+FALUHÁZ!AA96+ÓVODA!AB96+PMH!AB96+ÖNKORMÁNYZAT!AB96</f>
        <v>0</v>
      </c>
      <c r="AD96" s="55">
        <f>BÖLCSŐDE!AC96+FALUHÁZ!AB96+ÓVODA!AC96+PMH!AC96+ÖNKORMÁNYZAT!AC96</f>
        <v>0</v>
      </c>
      <c r="AE96" s="223">
        <f>BÖLCSŐDE!AE96+FALUHÁZ!AD96+ÓVODA!AE96+PMH!AE96+ÖNKORMÁNYZAT!AD96</f>
        <v>0</v>
      </c>
      <c r="AF96" s="122"/>
      <c r="AG96" s="55">
        <f>BÖLCSŐDE!AG95+FALUHÁZ!AG95+ÓVODA!AG95+PMH!AG95+ÖNKORMÁNYZAT!AG95</f>
        <v>0</v>
      </c>
      <c r="AH96" s="55"/>
      <c r="AI96" s="55">
        <f>BÖLCSŐDE!AI96+FALUHÁZ!AJ96+ÓVODA!AI96+PMH!AI96+ÖNKORMÁNYZAT!AI96</f>
        <v>0</v>
      </c>
      <c r="AJ96" s="55"/>
      <c r="AK96" s="55">
        <f>BÖLCSŐDE!AL96+FALUHÁZ!AK96+ÓVODA!AK96+PMH!AK96+ÖNKORMÁNYZAT!AK96</f>
        <v>0</v>
      </c>
      <c r="AM96" s="55">
        <f>BÖLCSŐDE!AM96+FALUHÁZ!AM96+ÓVODA!AM96+PMH!AM96+ÖNKORMÁNYZAT!AM96</f>
        <v>0</v>
      </c>
      <c r="AN96" s="55">
        <f>BÖLCSŐDE!AN96+FALUHÁZ!AN96+ÓVODA!AP96+PMH!AN96+ÖNKORMÁNYZAT!AP96</f>
        <v>0</v>
      </c>
      <c r="AO96" s="55">
        <f>BÖLCSŐDE!AO96+FALUHÁZ!AO96+ÓVODA!AQ96+PMH!AO96+ÖNKORMÁNYZAT!AQ96</f>
        <v>0</v>
      </c>
      <c r="AP96" s="55">
        <f>BÖLCSŐDE!AP96+FALUHÁZ!AP96+ÓVODA!AP96+PMH!AP96+ÖNKORMÁNYZAT!AP96</f>
        <v>0</v>
      </c>
      <c r="AQ96" s="55">
        <f>BÖLCSŐDE!AQ96+FALUHÁZ!AQ96+ÓVODA!AQ96+PMH!AQ96+ÖNKORMÁNYZAT!AQ96</f>
        <v>0</v>
      </c>
      <c r="AR96" s="55">
        <f t="shared" si="9"/>
        <v>0</v>
      </c>
      <c r="AS96" s="54"/>
      <c r="AT96" s="55">
        <f>BÖLCSŐDE!AT96+FALUHÁZ!AT96+ÓVODA!AT96+PMH!AT96+ÖNKORMÁNYZAT!AT96</f>
        <v>0</v>
      </c>
      <c r="AU96" s="55"/>
      <c r="AV96" s="54"/>
      <c r="AW96" s="55">
        <f>BÖLCSŐDE!AW96+FALUHÁZ!AW96+ÓVODA!AW96+PMH!AW96+ÖNKORMÁNYZAT!AW96</f>
        <v>0</v>
      </c>
      <c r="AX96" s="55">
        <f>BÖLCSŐDE!AX96+FALUHÁZ!AX96+ÓVODA!AX96+PMH!AX96+ÖNKORMÁNYZAT!AX96</f>
        <v>0</v>
      </c>
      <c r="AY96" s="55">
        <f>BÖLCSŐDE!AY96+FALUHÁZ!AY96+ÓVODA!AY96+PMH!AY96+ÖNKORMÁNYZAT!AY96</f>
        <v>0</v>
      </c>
      <c r="AZ96" s="55">
        <f>BÖLCSŐDE!AZ96+FALUHÁZ!AZ96+ÓVODA!AZ96+PMH!AZ96+ÖNKORMÁNYZAT!AZ96</f>
        <v>0</v>
      </c>
      <c r="BA96" s="55">
        <f>BÖLCSŐDE!BA96+FALUHÁZ!BA96+ÓVODA!BA96+PMH!BA96+ÖNKORMÁNYZAT!BA96</f>
        <v>0</v>
      </c>
      <c r="BB96" s="501">
        <f>BÖLCSŐDE!BB96+FALUHÁZ!BB96+ÓVODA!BB96+PMH!BB96+ÖNKORMÁNYZAT!BB96</f>
        <v>0</v>
      </c>
      <c r="BC96" s="501">
        <f>BÖLCSŐDE!BC96+FALUHÁZ!BC96+ÓVODA!BC96+PMH!BC96+ÖNKORMÁNYZAT!BC96</f>
        <v>0</v>
      </c>
      <c r="BD96" s="501">
        <f>BÖLCSŐDE!BD96+FALUHÁZ!BD96+ÓVODA!BD96+PMH!BD96+ÖNKORMÁNYZAT!BD96</f>
        <v>0</v>
      </c>
      <c r="BE96" s="501">
        <f>BÖLCSŐDE!BE96+FALUHÁZ!BE96+ÓVODA!BE96+PMH!BE96+ÖNKORMÁNYZAT!BE96</f>
        <v>0</v>
      </c>
      <c r="BF96" s="501">
        <f>BÖLCSŐDE!BF96+FALUHÁZ!BF96+ÓVODA!BF96+PMH!BF96+ÖNKORMÁNYZAT!BF96</f>
        <v>0</v>
      </c>
      <c r="BG96" s="383">
        <f>BÖLCSŐDE!BG96+FALUHÁZ!BG96+ÓVODA!BG96+PMH!BG96+ÖNKORMÁNYZAT!BG96</f>
        <v>0</v>
      </c>
      <c r="BH96" s="65">
        <f>BÖLCSŐDE!BH96+FALUHÁZ!BH96+ÓVODA!BH96+PMH!BH96+ÖNKORMÁNYZAT!BH96</f>
        <v>0</v>
      </c>
      <c r="BI96" s="65">
        <f>BÖLCSŐDE!BI96+FALUHÁZ!BI96+ÓVODA!BI96+PMH!BI96+ÖNKORMÁNYZAT!BI96</f>
        <v>6379360</v>
      </c>
      <c r="BJ96" s="65">
        <f>BÖLCSŐDE!BJ96+FALUHÁZ!BJ96+ÓVODA!BJ96+PMH!BJ96+ÖNKORMÁNYZAT!BJ96</f>
        <v>3868969</v>
      </c>
      <c r="BK96" s="65">
        <f>BÖLCSŐDE!BK96+FALUHÁZ!BK96+ÓVODA!BK96+PMH!BK96+ÖNKORMÁNYZAT!BK96</f>
        <v>4514661</v>
      </c>
      <c r="BL96" s="65">
        <f>BÖLCSŐDE!BL96+FALUHÁZ!BL96+ÓVODA!BL96+PMH!BL96+ÖNKORMÁNYZAT!BL96</f>
        <v>0</v>
      </c>
      <c r="BM96" s="65">
        <f>BÖLCSŐDE!BM96+FALUHÁZ!BM96+ÓVODA!BM96+PMH!BM96+ÖNKORMÁNYZAT!BM96</f>
        <v>0</v>
      </c>
      <c r="BN96" s="65">
        <f>BÖLCSŐDE!BN96+FALUHÁZ!BN96+ÓVODA!BN96+PMH!BN96+ÖNKORMÁNYZAT!BN96</f>
        <v>0</v>
      </c>
      <c r="BO96" s="65">
        <f>BÖLCSŐDE!BO96+FALUHÁZ!BO96+ÓVODA!BO96+PMH!BO96+ÖNKORMÁNYZAT!BO96</f>
        <v>139126</v>
      </c>
      <c r="BP96" s="65">
        <f>BÖLCSŐDE!BP96+FALUHÁZ!BP96+ÓVODA!BP96+PMH!BP96+ÖNKORMÁNYZAT!BP96</f>
        <v>166951.20000000001</v>
      </c>
      <c r="BQ96" s="65">
        <f>BÖLCSŐDE!BQ96+FALUHÁZ!BQ96+ÓVODA!BQ96+PMH!BQ96+ÖNKORMÁNYZAT!BQ96</f>
        <v>183646.32000000004</v>
      </c>
      <c r="BR96" s="65">
        <f>BÖLCSŐDE!BR96+FALUHÁZ!BR96+ÓVODA!BR96+PMH!BR96+ÖNKORMÁNYZAT!BR96</f>
        <v>0</v>
      </c>
      <c r="BS96" s="65">
        <f>BÖLCSŐDE!BS96+FALUHÁZ!BS96+ÓVODA!BS96+PMH!BS96+ÖNKORMÁNYZAT!BS96</f>
        <v>0</v>
      </c>
      <c r="BT96" s="65">
        <f>BÖLCSŐDE!BT96+FALUHÁZ!BT96+ÓVODA!BT96+PMH!BT96+ÖNKORMÁNYZAT!BT96</f>
        <v>0</v>
      </c>
      <c r="BU96" s="65">
        <f>BÖLCSŐDE!BU96+FALUHÁZ!BU96+ÓVODA!BU96+PMH!BU96+ÖNKORMÁNYZAT!BU96</f>
        <v>1751812</v>
      </c>
      <c r="BV96" s="65">
        <f>BÖLCSŐDE!BV96+FALUHÁZ!BV96+ÓVODA!BV96+PMH!BV96+ÖNKORMÁNYZAT!BV96</f>
        <v>2511000</v>
      </c>
    </row>
    <row r="97" spans="1:74" x14ac:dyDescent="0.25">
      <c r="A97" s="54" t="s">
        <v>707</v>
      </c>
      <c r="B97" s="55" t="s">
        <v>708</v>
      </c>
      <c r="C97" s="55"/>
      <c r="D97" s="55"/>
      <c r="E97" s="55"/>
      <c r="F97" s="55"/>
      <c r="G97" s="55"/>
      <c r="H97" s="55"/>
      <c r="I97" s="55"/>
      <c r="J97" s="55"/>
      <c r="K97" s="55"/>
      <c r="L97" s="64"/>
      <c r="N97" s="1"/>
      <c r="O97" s="55"/>
      <c r="P97" s="55"/>
      <c r="Q97" s="55"/>
      <c r="R97" s="55"/>
      <c r="S97" s="55"/>
      <c r="T97" s="55"/>
      <c r="U97" s="55"/>
      <c r="V97" s="69"/>
      <c r="W97" s="69"/>
      <c r="X97" s="122"/>
      <c r="Y97" s="1"/>
      <c r="Z97" s="140"/>
      <c r="AA97" s="171"/>
      <c r="AB97" s="55"/>
      <c r="AC97" s="223"/>
      <c r="AD97" s="55"/>
      <c r="AE97" s="122"/>
      <c r="AF97" s="55"/>
      <c r="AG97" s="55"/>
      <c r="AH97" s="55"/>
      <c r="AI97" s="230"/>
      <c r="AJ97" s="230"/>
      <c r="AK97" s="230"/>
      <c r="AL97" s="55"/>
      <c r="AM97" s="55"/>
      <c r="AN97" s="223"/>
      <c r="AO97" s="223"/>
      <c r="AP97" s="222"/>
      <c r="AQ97" s="65"/>
      <c r="AR97" s="69"/>
      <c r="AS97" s="415"/>
      <c r="AT97" s="65"/>
      <c r="AU97" s="55"/>
      <c r="AV97" s="55"/>
      <c r="AW97" s="430"/>
      <c r="AX97" s="430"/>
      <c r="AY97" s="69"/>
      <c r="AZ97" s="69"/>
      <c r="BA97" s="69"/>
      <c r="BB97" s="501"/>
      <c r="BC97" s="501"/>
      <c r="BD97" s="501"/>
      <c r="BE97" s="501"/>
      <c r="BF97" s="221"/>
      <c r="BG97" s="517"/>
      <c r="BH97" s="222"/>
      <c r="BI97" s="65"/>
      <c r="BJ97" s="65"/>
      <c r="BK97" s="65"/>
      <c r="BL97" s="65">
        <f>BÖLCSŐDE!BL97+FALUHÁZ!BL97+ÓVODA!BL97+PMH!BL97+ÖNKORMÁNYZAT!BL97</f>
        <v>0</v>
      </c>
      <c r="BM97" s="65">
        <f>BÖLCSŐDE!BM97+FALUHÁZ!BM97+ÓVODA!BM97+PMH!BM97+ÖNKORMÁNYZAT!BM97</f>
        <v>0</v>
      </c>
      <c r="BN97" s="65">
        <f>BÖLCSŐDE!BN97+FALUHÁZ!BN97+ÓVODA!BN97+PMH!BN97+ÖNKORMÁNYZAT!BN97</f>
        <v>0</v>
      </c>
      <c r="BO97" s="65">
        <f>BÖLCSŐDE!BO97+FALUHÁZ!BO97+ÓVODA!BO97+PMH!BO97+ÖNKORMÁNYZAT!BO97</f>
        <v>429194</v>
      </c>
      <c r="BP97" s="65">
        <f>BÖLCSŐDE!BP97+FALUHÁZ!BP97+ÓVODA!BP97+PMH!BP97+ÖNKORMÁNYZAT!BP97</f>
        <v>257516.40000000002</v>
      </c>
      <c r="BQ97" s="65">
        <f>BÖLCSŐDE!BQ97+FALUHÁZ!BQ97+ÓVODA!BQ97+PMH!BQ97+ÖNKORMÁNYZAT!BQ97</f>
        <v>0</v>
      </c>
      <c r="BR97" s="65">
        <f>BÖLCSŐDE!BR97+FALUHÁZ!BR97+ÓVODA!BR97+PMH!BR97+ÖNKORMÁNYZAT!BR97</f>
        <v>0</v>
      </c>
      <c r="BS97" s="65">
        <f>BÖLCSŐDE!BS97+FALUHÁZ!BS97+ÓVODA!BS97+PMH!BS97+ÖNKORMÁNYZAT!BS97</f>
        <v>0</v>
      </c>
      <c r="BT97" s="65">
        <f>BÖLCSŐDE!BT97+FALUHÁZ!BT97+ÓVODA!BT97+PMH!BT97+ÖNKORMÁNYZAT!BT97</f>
        <v>0</v>
      </c>
      <c r="BU97" s="65">
        <f>BÖLCSŐDE!BU97+FALUHÁZ!BU97+ÓVODA!BU97+PMH!BU97+ÖNKORMÁNYZAT!BU97</f>
        <v>0</v>
      </c>
      <c r="BV97" s="65">
        <f>BÖLCSŐDE!BV97+FALUHÁZ!BV97+ÓVODA!BV97+PMH!BV97+ÖNKORMÁNYZAT!BV97</f>
        <v>0</v>
      </c>
    </row>
    <row r="98" spans="1:74" x14ac:dyDescent="0.25">
      <c r="A98" s="54" t="s">
        <v>263</v>
      </c>
      <c r="B98" s="55" t="s">
        <v>264</v>
      </c>
      <c r="C98" s="55"/>
      <c r="D98" s="55"/>
      <c r="E98" s="55"/>
      <c r="F98" s="55"/>
      <c r="G98" s="55">
        <f>BÖLCSŐDE!G98+FALUHÁZ!G98+ÓVODA!G98+PMH!G98+ÖNKORMÁNYZAT!G98</f>
        <v>14497777</v>
      </c>
      <c r="H98" s="55">
        <f>BÖLCSŐDE!H98+FALUHÁZ!H98+ÓVODA!H98+PMH!H98+ÖNKORMÁNYZAT!H98</f>
        <v>14086346</v>
      </c>
      <c r="I98" s="55">
        <f t="shared" si="14"/>
        <v>15366922.90909091</v>
      </c>
      <c r="J98" s="55">
        <v>0</v>
      </c>
      <c r="K98" s="55">
        <v>0</v>
      </c>
      <c r="L98" s="55">
        <f>BÖLCSŐDE!L98+FALUHÁZ!L98+ÓVODA!L98+PMH!L98+ÖNKORMÁNYZAT!L98</f>
        <v>0</v>
      </c>
      <c r="M98" s="1">
        <f t="shared" si="15"/>
        <v>0</v>
      </c>
      <c r="O98" s="55">
        <f>BÖLCSŐDE!O98+FALUHÁZ!N98+ÓVODA!O98+PMH!O98+ÖNKORMÁNYZAT!O98</f>
        <v>228000</v>
      </c>
      <c r="P98" s="55">
        <f>BÖLCSŐDE!P98+FALUHÁZ!O98+ÓVODA!P98+PMH!P98+ÖNKORMÁNYZAT!P98</f>
        <v>0</v>
      </c>
      <c r="Q98" s="55">
        <f>BÖLCSŐDE!Q98+FALUHÁZ!P98+ÓVODA!Q98+PMH!Q98+ÖNKORMÁNYZAT!Q98</f>
        <v>0</v>
      </c>
      <c r="R98" s="55">
        <f>BÖLCSŐDE!R98+FALUHÁZ!Q98+ÓVODA!R98+PMH!R98+ÖNKORMÁNYZAT!R98</f>
        <v>0</v>
      </c>
      <c r="S98" s="55">
        <f>BÖLCSŐDE!S98+FALUHÁZ!R98+ÓVODA!S98+PMH!S98+ÖNKORMÁNYZAT!S98</f>
        <v>5422000</v>
      </c>
      <c r="T98" s="55">
        <f>BÖLCSŐDE!T98+FALUHÁZ!S98+ÓVODA!T98+PMH!T98+ÖNKORMÁNYZAT!T98</f>
        <v>5194000</v>
      </c>
      <c r="U98" s="55">
        <f>BÖLCSŐDE!U98+FALUHÁZ!T98+ÓVODA!U98+PMH!U98+ÖNKORMÁNYZAT!U98</f>
        <v>0</v>
      </c>
      <c r="V98" s="55">
        <f>BÖLCSŐDE!V98+FALUHÁZ!U98+ÓVODA!V98+PMH!V98+ÖNKORMÁNYZAT!V98</f>
        <v>0</v>
      </c>
      <c r="W98" s="55">
        <f>BÖLCSŐDE!W98+FALUHÁZ!V98+ÓVODA!W98+PMH!W98+ÖNKORMÁNYZAT!W98</f>
        <v>0</v>
      </c>
      <c r="X98" s="122"/>
      <c r="AA98" s="55">
        <f>BÖLCSŐDE!AA98+FALUHÁZ!Z98+ÓVODA!AA98+PMH!AA98+ÖNKORMÁNYZAT!AA98</f>
        <v>0</v>
      </c>
      <c r="AB98" s="55">
        <f>BÖLCSŐDE!AB98+FALUHÁZ!AA98+ÓVODA!AB98+PMH!AB98+ÖNKORMÁNYZAT!AB98</f>
        <v>0</v>
      </c>
      <c r="AC98" s="55">
        <f>BÖLCSŐDE!AB98+FALUHÁZ!AA98+ÓVODA!AB98+PMH!AB98+ÖNKORMÁNYZAT!AB98</f>
        <v>0</v>
      </c>
      <c r="AD98" s="55">
        <f>BÖLCSŐDE!AC98+FALUHÁZ!AB98+ÓVODA!AC98+PMH!AC98+ÖNKORMÁNYZAT!AC98</f>
        <v>0</v>
      </c>
      <c r="AE98" s="223">
        <f>BÖLCSŐDE!AE98+FALUHÁZ!AD98+ÓVODA!AE98+PMH!AE98+ÖNKORMÁNYZAT!AD98</f>
        <v>0</v>
      </c>
      <c r="AF98" s="122"/>
      <c r="AG98" s="55">
        <f>BÖLCSŐDE!AG96+FALUHÁZ!AG96+ÓVODA!AG96+PMH!AG96+ÖNKORMÁNYZAT!AG96</f>
        <v>0</v>
      </c>
      <c r="AH98" s="55"/>
      <c r="AI98" s="55">
        <f>BÖLCSŐDE!AI98+FALUHÁZ!AJ98+ÓVODA!AI98+PMH!AI98+ÖNKORMÁNYZAT!AI98</f>
        <v>0</v>
      </c>
      <c r="AJ98" s="55"/>
      <c r="AK98" s="55">
        <f>BÖLCSŐDE!AL98+FALUHÁZ!AK98+ÓVODA!AK98+PMH!AK98+ÖNKORMÁNYZAT!AK98</f>
        <v>0</v>
      </c>
      <c r="AM98" s="55">
        <f>BÖLCSŐDE!AM98+FALUHÁZ!AM98+ÓVODA!AM98+PMH!AM98+ÖNKORMÁNYZAT!AM98</f>
        <v>0</v>
      </c>
      <c r="AN98" s="55">
        <f>BÖLCSŐDE!AN98+FALUHÁZ!AN98+ÓVODA!AP98+PMH!AN98+ÖNKORMÁNYZAT!AP98</f>
        <v>0</v>
      </c>
      <c r="AO98" s="55">
        <f>BÖLCSŐDE!AO98+FALUHÁZ!AO98+ÓVODA!AQ98+PMH!AO98+ÖNKORMÁNYZAT!AQ98</f>
        <v>0</v>
      </c>
      <c r="AP98" s="55">
        <f>BÖLCSŐDE!AP98+FALUHÁZ!AP98+ÓVODA!AP98+PMH!AP98+ÖNKORMÁNYZAT!AP98</f>
        <v>0</v>
      </c>
      <c r="AQ98" s="55">
        <f>BÖLCSŐDE!AQ98+FALUHÁZ!AQ98+ÓVODA!AQ98+PMH!AQ98+ÖNKORMÁNYZAT!AQ98</f>
        <v>0</v>
      </c>
      <c r="AR98" s="55">
        <f t="shared" si="9"/>
        <v>0</v>
      </c>
      <c r="AS98" s="54"/>
      <c r="AT98" s="55">
        <f>BÖLCSŐDE!AT98+FALUHÁZ!AT98+ÓVODA!AT98+PMH!AT98+ÖNKORMÁNYZAT!AT98</f>
        <v>0</v>
      </c>
      <c r="AU98" s="55"/>
      <c r="AV98" s="54"/>
      <c r="AW98" s="55">
        <f>BÖLCSŐDE!AW98+FALUHÁZ!AW98+ÓVODA!AW98+PMH!AW98+ÖNKORMÁNYZAT!AW98</f>
        <v>0</v>
      </c>
      <c r="AX98" s="55">
        <f>BÖLCSŐDE!AX98+FALUHÁZ!AX98+ÓVODA!AX98+PMH!AX98+ÖNKORMÁNYZAT!AX98</f>
        <v>0</v>
      </c>
      <c r="AY98" s="55">
        <f>BÖLCSŐDE!AY98+FALUHÁZ!AY98+ÓVODA!AY98+PMH!AY98+ÖNKORMÁNYZAT!AY98</f>
        <v>0</v>
      </c>
      <c r="AZ98" s="55">
        <f>BÖLCSŐDE!AZ98+FALUHÁZ!AZ98+ÓVODA!AZ98+PMH!AZ98+ÖNKORMÁNYZAT!AZ98</f>
        <v>0</v>
      </c>
      <c r="BA98" s="55">
        <f>BÖLCSŐDE!BA98+FALUHÁZ!BA98+ÓVODA!BA98+PMH!BA98+ÖNKORMÁNYZAT!BA98</f>
        <v>0</v>
      </c>
      <c r="BB98" s="501">
        <f>BÖLCSŐDE!BB98+FALUHÁZ!BB98+ÓVODA!BB98+PMH!BB98+ÖNKORMÁNYZAT!BB98</f>
        <v>0</v>
      </c>
      <c r="BC98" s="501">
        <f>BÖLCSŐDE!BC98+FALUHÁZ!BC98+ÓVODA!BC98+PMH!BC98+ÖNKORMÁNYZAT!BC98</f>
        <v>227711</v>
      </c>
      <c r="BD98" s="501">
        <f>BÖLCSŐDE!BD98+FALUHÁZ!BD98+ÓVODA!BD98+PMH!BD98+ÖNKORMÁNYZAT!BD98</f>
        <v>0</v>
      </c>
      <c r="BE98" s="501">
        <f>BÖLCSŐDE!BE98+FALUHÁZ!BE98+ÓVODA!BE98+PMH!BE98+ÖNKORMÁNYZAT!BE98</f>
        <v>0</v>
      </c>
      <c r="BF98" s="501">
        <f>BÖLCSŐDE!BF98+FALUHÁZ!BF98+ÓVODA!BF98+PMH!BF98+ÖNKORMÁNYZAT!BF98</f>
        <v>0</v>
      </c>
      <c r="BG98" s="383">
        <f>BÖLCSŐDE!BG98+FALUHÁZ!BG98+ÓVODA!BG98+PMH!BG98+ÖNKORMÁNYZAT!BG98</f>
        <v>0</v>
      </c>
      <c r="BH98" s="65">
        <f>BÖLCSŐDE!BH98+FALUHÁZ!BH98+ÓVODA!BH98+PMH!BH98+ÖNKORMÁNYZAT!BH98</f>
        <v>0</v>
      </c>
      <c r="BI98" s="65">
        <f>BÖLCSŐDE!BI98+FALUHÁZ!BI98+ÓVODA!BI98+PMH!BI98+ÖNKORMÁNYZAT!BI98</f>
        <v>17458911</v>
      </c>
      <c r="BJ98" s="65">
        <f>BÖLCSŐDE!BJ98+FALUHÁZ!BJ98+ÓVODA!BJ98+PMH!BJ98+ÖNKORMÁNYZAT!BJ98</f>
        <v>17231200</v>
      </c>
      <c r="BK98" s="65">
        <f>BÖLCSŐDE!BK98+FALUHÁZ!BK98+ÓVODA!BK98+PMH!BK98+ÖNKORMÁNYZAT!BK98</f>
        <v>17231200</v>
      </c>
      <c r="BL98" s="65">
        <f>BÖLCSŐDE!BL98+FALUHÁZ!BL98+ÓVODA!BL98+PMH!BL98+ÖNKORMÁNYZAT!BL98</f>
        <v>20677440</v>
      </c>
      <c r="BM98" s="65">
        <f>BÖLCSŐDE!BM98+FALUHÁZ!BM98+ÓVODA!BM98+PMH!BM98+ÖNKORMÁNYZAT!BM98</f>
        <v>0</v>
      </c>
      <c r="BN98" s="65">
        <f>BÖLCSŐDE!BN98+FALUHÁZ!BN98+ÓVODA!BN98+PMH!BN98+ÖNKORMÁNYZAT!BN98</f>
        <v>0</v>
      </c>
      <c r="BO98" s="65">
        <f>BÖLCSŐDE!BO98+FALUHÁZ!BO98+ÓVODA!BO98+PMH!BO98+ÖNKORMÁNYZAT!BO98</f>
        <v>0</v>
      </c>
      <c r="BP98" s="65">
        <f>BÖLCSŐDE!BP98+FALUHÁZ!BP98+ÓVODA!BP98+PMH!BP98+ÖNKORMÁNYZAT!BP98</f>
        <v>0</v>
      </c>
      <c r="BQ98" s="65">
        <f>BÖLCSŐDE!BQ98+FALUHÁZ!BQ98+ÓVODA!BQ98+PMH!BQ98+ÖNKORMÁNYZAT!BQ98</f>
        <v>0</v>
      </c>
      <c r="BR98" s="65">
        <f>BÖLCSŐDE!BR98+FALUHÁZ!BR98+ÓVODA!BR98+PMH!BR98+ÖNKORMÁNYZAT!BR98</f>
        <v>0</v>
      </c>
      <c r="BS98" s="65">
        <f>BÖLCSŐDE!BS98+FALUHÁZ!BS98+ÓVODA!BS98+PMH!BS98+ÖNKORMÁNYZAT!BS98</f>
        <v>0</v>
      </c>
      <c r="BT98" s="65">
        <f>BÖLCSŐDE!BT98+FALUHÁZ!BT98+ÓVODA!BT98+PMH!BT98+ÖNKORMÁNYZAT!BT98</f>
        <v>0</v>
      </c>
      <c r="BU98" s="65">
        <f>BÖLCSŐDE!BU98+FALUHÁZ!BU98+ÓVODA!BU98+PMH!BU98+ÖNKORMÁNYZAT!BU98</f>
        <v>0</v>
      </c>
      <c r="BV98" s="65">
        <f>BÖLCSŐDE!BV98+FALUHÁZ!BV98+ÓVODA!BV98+PMH!BV98+ÖNKORMÁNYZAT!BV98</f>
        <v>0</v>
      </c>
    </row>
    <row r="99" spans="1:74" x14ac:dyDescent="0.25">
      <c r="A99" s="54" t="s">
        <v>665</v>
      </c>
      <c r="B99" s="65" t="s">
        <v>666</v>
      </c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14"/>
      <c r="O99" s="65"/>
      <c r="P99" s="65"/>
      <c r="Q99" s="65"/>
      <c r="R99" s="65"/>
      <c r="S99" s="65"/>
      <c r="T99" s="65"/>
      <c r="U99" s="65"/>
      <c r="V99" s="65"/>
      <c r="W99" s="65"/>
      <c r="X99" s="121"/>
      <c r="AA99" s="65"/>
      <c r="AB99" s="65"/>
      <c r="AC99" s="65"/>
      <c r="AD99" s="65"/>
      <c r="AE99" s="222"/>
      <c r="AF99" s="121"/>
      <c r="AG99" s="65"/>
      <c r="AH99" s="65"/>
      <c r="AI99" s="65"/>
      <c r="AJ99" s="65"/>
      <c r="AK99" s="65"/>
      <c r="AM99" s="65"/>
      <c r="AN99" s="65"/>
      <c r="AO99" s="65"/>
      <c r="AP99" s="65"/>
      <c r="AQ99" s="65"/>
      <c r="AR99" s="65"/>
      <c r="AS99" s="54"/>
      <c r="AT99" s="65"/>
      <c r="AU99" s="65"/>
      <c r="AV99" s="54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>
        <v>50000000</v>
      </c>
      <c r="BM99" s="65">
        <f>BÖLCSŐDE!BM99+FALUHÁZ!BM99+ÓVODA!BM99+PMH!BM99+ÖNKORMÁNYZAT!BM99</f>
        <v>50000000</v>
      </c>
      <c r="BN99" s="65">
        <f>BÖLCSŐDE!BN99+FALUHÁZ!BN99+ÓVODA!BN99+PMH!BN99+ÖNKORMÁNYZAT!BN99</f>
        <v>50000000</v>
      </c>
      <c r="BO99" s="65">
        <f>BÖLCSŐDE!BO99+FALUHÁZ!BO99+ÓVODA!BO99+PMH!BO99+ÖNKORMÁNYZAT!BO99</f>
        <v>50000000</v>
      </c>
      <c r="BP99" s="65">
        <f>BÖLCSŐDE!BP99+FALUHÁZ!BP99+ÓVODA!BP99+PMH!BP99+ÖNKORMÁNYZAT!BP99</f>
        <v>50000000</v>
      </c>
      <c r="BQ99" s="65">
        <f>BÖLCSŐDE!BQ99+FALUHÁZ!BQ99+ÓVODA!BQ99+PMH!BQ99+ÖNKORMÁNYZAT!BQ99</f>
        <v>50000000</v>
      </c>
      <c r="BR99" s="65">
        <f>BÖLCSŐDE!BR99+FALUHÁZ!BR99+ÓVODA!BR99+PMH!BR99+ÖNKORMÁNYZAT!BR99</f>
        <v>50000000</v>
      </c>
      <c r="BS99" s="65">
        <f>BÖLCSŐDE!BS99+FALUHÁZ!BS99+ÓVODA!BS99+PMH!BS99+ÖNKORMÁNYZAT!BS99</f>
        <v>50000000</v>
      </c>
      <c r="BT99" s="65">
        <f>BÖLCSŐDE!BT99+FALUHÁZ!BT99+ÓVODA!BT99+PMH!BT99+ÖNKORMÁNYZAT!BT99</f>
        <v>50000000</v>
      </c>
      <c r="BU99" s="65">
        <f>BÖLCSŐDE!BU99+FALUHÁZ!BU99+ÓVODA!BU99+PMH!BU99+ÖNKORMÁNYZAT!BU99</f>
        <v>50000000</v>
      </c>
      <c r="BV99" s="65">
        <f>BÖLCSŐDE!BV99+FALUHÁZ!BV99+ÓVODA!BV99+PMH!BV99+ÖNKORMÁNYZAT!BV99</f>
        <v>50000000</v>
      </c>
    </row>
    <row r="100" spans="1:74" x14ac:dyDescent="0.25">
      <c r="A100" s="54" t="s">
        <v>265</v>
      </c>
      <c r="B100" s="55" t="s">
        <v>266</v>
      </c>
      <c r="C100" s="55"/>
      <c r="D100" s="55"/>
      <c r="E100" s="55"/>
      <c r="F100" s="55"/>
      <c r="G100" s="55">
        <f>BÖLCSŐDE!G100+FALUHÁZ!G100+ÓVODA!G100+PMH!G100+ÖNKORMÁNYZAT!G100</f>
        <v>7023904</v>
      </c>
      <c r="H100" s="55">
        <f>BÖLCSŐDE!H100+FALUHÁZ!H100+ÓVODA!H100+PMH!H100+ÖNKORMÁNYZAT!H100</f>
        <v>7023904</v>
      </c>
      <c r="I100" s="55">
        <f t="shared" si="14"/>
        <v>7662440.7272727275</v>
      </c>
      <c r="J100" s="55">
        <v>0</v>
      </c>
      <c r="K100" s="55">
        <v>7811262</v>
      </c>
      <c r="L100" s="55">
        <f>BÖLCSŐDE!L100+FALUHÁZ!L100+ÓVODA!L100+PMH!L100+ÖNKORMÁNYZAT!L100</f>
        <v>7811262</v>
      </c>
      <c r="M100" s="1">
        <f t="shared" si="15"/>
        <v>101.94221760434084</v>
      </c>
      <c r="O100" s="55">
        <f>BÖLCSŐDE!O100+FALUHÁZ!N100+ÓVODA!O100+PMH!O100+ÖNKORMÁNYZAT!O100</f>
        <v>8617531</v>
      </c>
      <c r="P100" s="55">
        <f>BÖLCSŐDE!P100+FALUHÁZ!O100+ÓVODA!P100+PMH!P100+ÖNKORMÁNYZAT!P100</f>
        <v>8617531</v>
      </c>
      <c r="Q100" s="55">
        <f>BÖLCSŐDE!Q100+FALUHÁZ!P100+ÓVODA!Q100+PMH!Q100+ÖNKORMÁNYZAT!Q100</f>
        <v>8617531</v>
      </c>
      <c r="R100" s="55">
        <f>BÖLCSŐDE!R100+FALUHÁZ!Q100+ÓVODA!R100+PMH!R100+ÖNKORMÁNYZAT!R100</f>
        <v>8000000</v>
      </c>
      <c r="S100" s="55">
        <f>BÖLCSŐDE!S100+FALUHÁZ!R100+ÓVODA!S100+PMH!S100+ÖNKORMÁNYZAT!S100</f>
        <v>16055260</v>
      </c>
      <c r="T100" s="55">
        <f>BÖLCSŐDE!T100+FALUHÁZ!S100+ÓVODA!T100+PMH!T100+ÖNKORMÁNYZAT!T100</f>
        <v>8617531</v>
      </c>
      <c r="U100" s="55">
        <f>BÖLCSŐDE!U100+FALUHÁZ!T100+ÓVODA!U100+PMH!U100+ÖNKORMÁNYZAT!U100</f>
        <v>7437729</v>
      </c>
      <c r="V100" s="55">
        <f>BÖLCSŐDE!V100+FALUHÁZ!U100+ÓVODA!V100+PMH!V100+ÖNKORMÁNYZAT!V100</f>
        <v>7437729</v>
      </c>
      <c r="W100" s="55">
        <f>BÖLCSŐDE!W100+FALUHÁZ!V100+ÓVODA!W100+PMH!W100+ÖNKORMÁNYZAT!W100</f>
        <v>7437729</v>
      </c>
      <c r="X100" s="122">
        <f t="shared" si="16"/>
        <v>115.86239563178491</v>
      </c>
      <c r="AA100" s="55">
        <f>BÖLCSŐDE!AA100+FALUHÁZ!Z100+ÓVODA!AA100+PMH!AA100+ÖNKORMÁNYZAT!AA100</f>
        <v>7437729</v>
      </c>
      <c r="AB100" s="55">
        <f>BÖLCSŐDE!AB100+FALUHÁZ!AA100+ÓVODA!AB100+PMH!AB100+ÖNKORMÁNYZAT!AB100</f>
        <v>8038956</v>
      </c>
      <c r="AC100" s="55">
        <f>BÖLCSŐDE!AB100+FALUHÁZ!AA100+ÓVODA!AB100+PMH!AB100+ÖNKORMÁNYZAT!AB100</f>
        <v>8038956</v>
      </c>
      <c r="AD100" s="55">
        <f>BÖLCSŐDE!AC100+FALUHÁZ!AB100+ÓVODA!AC100+PMH!AC100+ÖNKORMÁNYZAT!AC100</f>
        <v>8186083</v>
      </c>
      <c r="AE100" s="223">
        <f>BÖLCSŐDE!AE100+FALUHÁZ!AD100+ÓVODA!AE100+PMH!AE100+ÖNKORMÁNYZAT!AD100</f>
        <v>0</v>
      </c>
      <c r="AF100" s="122">
        <f t="shared" si="13"/>
        <v>110.06159272541389</v>
      </c>
      <c r="AG100" s="55">
        <f>BÖLCSŐDE!AG98+FALUHÁZ!AG98+ÓVODA!AG98+PMH!AG98+ÖNKORMÁNYZAT!AG98</f>
        <v>0</v>
      </c>
      <c r="AH100" s="55"/>
      <c r="AI100" s="55">
        <f>BÖLCSŐDE!AI100+FALUHÁZ!AJ100+ÓVODA!AI100+PMH!AI100+ÖNKORMÁNYZAT!AI100</f>
        <v>0</v>
      </c>
      <c r="AJ100" s="55"/>
      <c r="AK100" s="55">
        <f>BÖLCSŐDE!AL100+FALUHÁZ!AK100+ÓVODA!AK100+PMH!AK100+ÖNKORMÁNYZAT!AK100</f>
        <v>0</v>
      </c>
      <c r="AM100" s="55">
        <f>BÖLCSŐDE!AM100+FALUHÁZ!AM100+ÓVODA!AM100+PMH!AM100+ÖNKORMÁNYZAT!AM100</f>
        <v>8186083</v>
      </c>
      <c r="AN100" s="55">
        <f>BÖLCSŐDE!AN100+FALUHÁZ!AN100+ÓVODA!AP100+PMH!AN100+ÖNKORMÁNYZAT!AP100</f>
        <v>10113951</v>
      </c>
      <c r="AO100" s="55">
        <f>BÖLCSŐDE!AO100+FALUHÁZ!AO100+ÓVODA!AQ100+PMH!AO100+ÖNKORMÁNYZAT!AQ100</f>
        <v>10112308</v>
      </c>
      <c r="AP100" s="55">
        <f>BÖLCSŐDE!AP100+FALUHÁZ!AP100+ÓVODA!AP100+PMH!AP100+ÖNKORMÁNYZAT!AP100</f>
        <v>10113951</v>
      </c>
      <c r="AQ100" s="55">
        <f>BÖLCSŐDE!AQ100+FALUHÁZ!AQ100+ÓVODA!AQ100+PMH!AQ100+ÖNKORMÁNYZAT!AQ100</f>
        <v>10112308</v>
      </c>
      <c r="AR100" s="55">
        <f t="shared" si="9"/>
        <v>1643</v>
      </c>
      <c r="AS100" s="54">
        <f t="shared" si="10"/>
        <v>99.98375511212187</v>
      </c>
      <c r="AT100" s="55">
        <f>BÖLCSŐDE!AT100+FALUHÁZ!AT100+ÓVODA!AT100+PMH!AT100+ÖNKORMÁNYZAT!AT100</f>
        <v>10112308</v>
      </c>
      <c r="AU100" s="55">
        <f t="shared" si="11"/>
        <v>1643</v>
      </c>
      <c r="AV100" s="54">
        <f t="shared" si="12"/>
        <v>1.624488787813981E-2</v>
      </c>
      <c r="AW100" s="55">
        <f>BÖLCSŐDE!AW100+FALUHÁZ!AW100+ÓVODA!AW100+PMH!AW100+ÖNKORMÁNYZAT!AW100</f>
        <v>0</v>
      </c>
      <c r="AX100" s="55">
        <f>BÖLCSŐDE!AX100+FALUHÁZ!AX100+ÓVODA!AX100+PMH!AX100+ÖNKORMÁNYZAT!AX100</f>
        <v>0</v>
      </c>
      <c r="AY100" s="55">
        <f>BÖLCSŐDE!AY100+FALUHÁZ!AY100+ÓVODA!AY100+PMH!AY100+ÖNKORMÁNYZAT!AY100</f>
        <v>0</v>
      </c>
      <c r="AZ100" s="55">
        <f>BÖLCSŐDE!AZ100+FALUHÁZ!AZ100+ÓVODA!AZ100+PMH!AZ100+ÖNKORMÁNYZAT!AZ100</f>
        <v>0</v>
      </c>
      <c r="BA100" s="55">
        <f>BÖLCSŐDE!BA100+FALUHÁZ!BA100+ÓVODA!BA100+PMH!BA100+ÖNKORMÁNYZAT!BA100</f>
        <v>0</v>
      </c>
      <c r="BB100" s="501">
        <f>BÖLCSŐDE!BB100+FALUHÁZ!BB100+ÓVODA!BB100+PMH!BB100+ÖNKORMÁNYZAT!BB100</f>
        <v>0</v>
      </c>
      <c r="BC100" s="501">
        <f>BÖLCSŐDE!BC100+FALUHÁZ!BC100+ÓVODA!BC100+PMH!BC100+ÖNKORMÁNYZAT!BC100</f>
        <v>22029354</v>
      </c>
      <c r="BD100" s="501">
        <f>BÖLCSŐDE!BD100+FALUHÁZ!BD100+ÓVODA!BD100+PMH!BD100+ÖNKORMÁNYZAT!BD100</f>
        <v>22029354</v>
      </c>
      <c r="BE100" s="501">
        <f>BÖLCSŐDE!BE100+FALUHÁZ!BE100+ÓVODA!BE100+PMH!BE100+ÖNKORMÁNYZAT!BE100</f>
        <v>22029354</v>
      </c>
      <c r="BF100" s="501">
        <f>BÖLCSŐDE!BF100+FALUHÁZ!BF100+ÓVODA!BF100+PMH!BF100+ÖNKORMÁNYZAT!BF100</f>
        <v>22495564</v>
      </c>
      <c r="BG100" s="383">
        <f>BÖLCSŐDE!BG100+FALUHÁZ!BG100+ÓVODA!BG100+PMH!BG100+ÖNKORMÁNYZAT!BG100</f>
        <v>26994676.799999997</v>
      </c>
      <c r="BH100" s="65">
        <f>BÖLCSŐDE!BH100+FALUHÁZ!BH100+ÓVODA!BH100+PMH!BH100+ÖNKORMÁNYZAT!BH100</f>
        <v>11141377</v>
      </c>
      <c r="BI100" s="65">
        <f>BÖLCSŐDE!BI100+FALUHÁZ!BI100+ÓVODA!BI100+PMH!BI100+ÖNKORMÁNYZAT!BI100</f>
        <v>11141377</v>
      </c>
      <c r="BJ100" s="65">
        <f>BÖLCSŐDE!BJ100+FALUHÁZ!BJ100+ÓVODA!BJ100+PMH!BJ100+ÖNKORMÁNYZAT!BJ100</f>
        <v>11141377</v>
      </c>
      <c r="BK100" s="65">
        <f>BÖLCSŐDE!BK100+FALUHÁZ!BK100+ÓVODA!BK100+PMH!BK100+ÖNKORMÁNYZAT!BK100</f>
        <v>11141377</v>
      </c>
      <c r="BL100" s="65">
        <f>BÖLCSŐDE!BL100+FALUHÁZ!BL100+ÓVODA!BL100+PMH!BL100+ÖNKORMÁNYZAT!BL100</f>
        <v>13369652.399999999</v>
      </c>
      <c r="BM100" s="65">
        <f>BÖLCSŐDE!BM100+FALUHÁZ!BM100+ÓVODA!BM100+PMH!BM100+ÖNKORMÁNYZAT!BM100</f>
        <v>17163083</v>
      </c>
      <c r="BN100" s="65">
        <f>BÖLCSŐDE!BN100+FALUHÁZ!BN100+ÓVODA!BN100+PMH!BN100+ÖNKORMÁNYZAT!BN100</f>
        <v>17163083</v>
      </c>
      <c r="BO100" s="65">
        <f>BÖLCSŐDE!BO100+FALUHÁZ!BO100+ÓVODA!BO100+PMH!BO100+ÖNKORMÁNYZAT!BO100</f>
        <v>0</v>
      </c>
      <c r="BP100" s="65">
        <f>BÖLCSŐDE!BP100+FALUHÁZ!BP100+ÓVODA!BP100+PMH!BP100+ÖNKORMÁNYZAT!BP100</f>
        <v>0</v>
      </c>
      <c r="BQ100" s="65">
        <f>BÖLCSŐDE!BQ100+FALUHÁZ!BQ100+ÓVODA!BQ100+PMH!BQ100+ÖNKORMÁNYZAT!BQ100</f>
        <v>0</v>
      </c>
      <c r="BR100" s="65">
        <f>BÖLCSŐDE!BR100+FALUHÁZ!BR100+ÓVODA!BR100+PMH!BR100+ÖNKORMÁNYZAT!BR100</f>
        <v>0</v>
      </c>
      <c r="BS100" s="65">
        <f>BÖLCSŐDE!BS100+FALUHÁZ!BS100+ÓVODA!BS100+PMH!BS100+ÖNKORMÁNYZAT!BS100</f>
        <v>16722495</v>
      </c>
      <c r="BT100" s="65">
        <f>BÖLCSŐDE!BT100+FALUHÁZ!BT100+ÓVODA!BT100+PMH!BT100+ÖNKORMÁNYZAT!BT100</f>
        <v>16722495</v>
      </c>
      <c r="BU100" s="65">
        <f>BÖLCSŐDE!BU100+FALUHÁZ!BU100+ÓVODA!BU100+PMH!BU100+ÖNKORMÁNYZAT!BU100</f>
        <v>0</v>
      </c>
      <c r="BV100" s="65">
        <f>BÖLCSŐDE!BV100+FALUHÁZ!BV100+ÓVODA!BV100+PMH!BV100+ÖNKORMÁNYZAT!BV100</f>
        <v>0</v>
      </c>
    </row>
    <row r="101" spans="1:74" x14ac:dyDescent="0.25">
      <c r="A101" s="54" t="s">
        <v>72</v>
      </c>
      <c r="B101" s="55" t="s">
        <v>174</v>
      </c>
      <c r="C101" s="55">
        <f>BÖLCSŐDE!C101+FALUHÁZ!C101+ÓVODA!C101+PMH!C101+ÖNKORMÁNYZAT!C101</f>
        <v>194684496</v>
      </c>
      <c r="D101" s="55">
        <f>BÖLCSŐDE!D101+FALUHÁZ!D101+ÓVODA!D101+PMH!D101+ÖNKORMÁNYZAT!D101</f>
        <v>166374632</v>
      </c>
      <c r="E101" s="55">
        <f>BÖLCSŐDE!E101+FALUHÁZ!E101+ÓVODA!E101+PMH!E101+ÖNKORMÁNYZAT!E101</f>
        <v>266034124</v>
      </c>
      <c r="F101" s="55">
        <f>BÖLCSŐDE!F101+FALUHÁZ!F101+ÓVODA!F101+PMH!F101+ÖNKORMÁNYZAT!F101</f>
        <v>209127223</v>
      </c>
      <c r="G101" s="55">
        <f>BÖLCSŐDE!G101+FALUHÁZ!G101+ÓVODA!G101+PMH!G101+ÖNKORMÁNYZAT!G101</f>
        <v>266434125</v>
      </c>
      <c r="H101" s="55">
        <f>BÖLCSŐDE!H101+FALUHÁZ!H101+ÓVODA!H101+PMH!H101+ÖNKORMÁNYZAT!H101</f>
        <v>223140997</v>
      </c>
      <c r="I101" s="55">
        <f t="shared" si="14"/>
        <v>243426542.18181819</v>
      </c>
      <c r="J101" s="55">
        <v>295545966.01007873</v>
      </c>
      <c r="K101" s="55">
        <v>284879639.21674538</v>
      </c>
      <c r="L101" s="55">
        <f>BÖLCSŐDE!L101+FALUHÁZ!L101+ÓVODA!L101+PMH!L101+ÖNKORMÁNYZAT!L101</f>
        <v>295779639</v>
      </c>
      <c r="M101" s="1">
        <f t="shared" si="15"/>
        <v>121.50673313967491</v>
      </c>
      <c r="O101" s="55">
        <f>BÖLCSŐDE!O101+FALUHÁZ!N101+ÓVODA!O101+PMH!O101+ÖNKORMÁNYZAT!O101</f>
        <v>295779639</v>
      </c>
      <c r="P101" s="55">
        <f>BÖLCSŐDE!P101+FALUHÁZ!O101+ÓVODA!P101+PMH!P101+ÖNKORMÁNYZAT!P101</f>
        <v>211388368</v>
      </c>
      <c r="Q101" s="55">
        <f>BÖLCSŐDE!Q101+FALUHÁZ!P101+ÓVODA!Q101+PMH!Q101+ÖNKORMÁNYZAT!Q101</f>
        <v>250062108</v>
      </c>
      <c r="R101" s="55">
        <f>BÖLCSŐDE!R101+FALUHÁZ!Q101+ÓVODA!R101+PMH!R101+ÖNKORMÁNYZAT!R101</f>
        <v>321765166.47109997</v>
      </c>
      <c r="S101" s="55">
        <f>BÖLCSŐDE!S101+FALUHÁZ!R101+ÓVODA!S101+PMH!S101+ÖNKORMÁNYZAT!S101</f>
        <v>297273639</v>
      </c>
      <c r="T101" s="55">
        <f>BÖLCSŐDE!T101+FALUHÁZ!S101+ÓVODA!T101+PMH!T101+ÖNKORMÁNYZAT!T101</f>
        <v>289382470</v>
      </c>
      <c r="U101" s="55">
        <f>BÖLCSŐDE!U101+FALUHÁZ!T101+ÓVODA!U101+PMH!U101+ÖNKORMÁNYZAT!U101</f>
        <v>336937827.18000001</v>
      </c>
      <c r="V101" s="55">
        <f>BÖLCSŐDE!V101+FALUHÁZ!U101+ÓVODA!V101+PMH!V101+ÖNKORMÁNYZAT!V101</f>
        <v>322445827.18000001</v>
      </c>
      <c r="W101" s="55">
        <f>BÖLCSŐDE!W101+FALUHÁZ!V101+ÓVODA!W101+PMH!W101+ÖNKORMÁNYZAT!W101</f>
        <v>315086102.18000001</v>
      </c>
      <c r="X101" s="122">
        <f t="shared" si="16"/>
        <v>89.746073791941811</v>
      </c>
      <c r="AA101" s="55">
        <f>BÖLCSŐDE!AA101+FALUHÁZ!Z101+ÓVODA!AA101+PMH!AA101+ÖNKORMÁNYZAT!AA101</f>
        <v>315192092.18000001</v>
      </c>
      <c r="AB101" s="55">
        <f>BÖLCSŐDE!AB101+FALUHÁZ!AA101+ÓVODA!AB101+PMH!AB101+ÖNKORMÁNYZAT!AB101</f>
        <v>151766133</v>
      </c>
      <c r="AC101" s="55">
        <f>BÖLCSŐDE!AB101+FALUHÁZ!AA101+ÓVODA!AB101+PMH!AB101+ÖNKORMÁNYZAT!AB101</f>
        <v>151766133</v>
      </c>
      <c r="AD101" s="55">
        <f>BÖLCSŐDE!AC101+FALUHÁZ!AB101+ÓVODA!AC101+PMH!AC101+ÖNKORMÁNYZAT!AC101</f>
        <v>200900283</v>
      </c>
      <c r="AE101" s="223">
        <f>BÖLCSŐDE!AE101+FALUHÁZ!AD101+ÓVODA!AE101+PMH!AE101+ÖNKORMÁNYZAT!AD101</f>
        <v>209080854</v>
      </c>
      <c r="AF101" s="122">
        <f>AD101/AA101*100</f>
        <v>63.738998529591854</v>
      </c>
      <c r="AG101" s="55">
        <f>AG37</f>
        <v>256266542</v>
      </c>
      <c r="AH101" s="55">
        <f>BÖLCSŐDE!AH37+FALUHÁZ!AI37+ÓVODA!AH37+PMH!AH37+ÖNKORMÁNYZAT!AH37</f>
        <v>300641783.37454545</v>
      </c>
      <c r="AI101" s="55">
        <f>BÖLCSŐDE!AI101+FALUHÁZ!AJ101+ÓVODA!AI101+PMH!AI101+ÖNKORMÁNYZAT!AI101</f>
        <v>324601203.53600001</v>
      </c>
      <c r="AJ101" s="55"/>
      <c r="AK101" s="55">
        <f>BÖLCSŐDE!AL101+FALUHÁZ!AK101+ÓVODA!AK101+PMH!AK101+ÖNKORMÁNYZAT!AK101</f>
        <v>362511726.73899996</v>
      </c>
      <c r="AM101" s="55">
        <f>BÖLCSŐDE!AM101+FALUHÁZ!AM101+ÓVODA!AM101+PMH!AM101+ÖNKORMÁNYZAT!AM101</f>
        <v>312317639</v>
      </c>
      <c r="AN101" s="55">
        <f>BÖLCSŐDE!AN101+FALUHÁZ!AN101+ÓVODA!AP101+PMH!AN101+ÖNKORMÁNYZAT!AP101</f>
        <v>348335761</v>
      </c>
      <c r="AO101" s="55">
        <f>BÖLCSŐDE!AO101+FALUHÁZ!AO101+ÓVODA!AQ101+PMH!AO101+ÖNKORMÁNYZAT!AQ101</f>
        <v>258570978</v>
      </c>
      <c r="AP101" s="55">
        <f>BÖLCSŐDE!AP101+FALUHÁZ!AP101+ÓVODA!AP101+PMH!AP101+ÖNKORMÁNYZAT!AP101</f>
        <v>348335761</v>
      </c>
      <c r="AQ101" s="55">
        <f>BÖLCSŐDE!AQ101+FALUHÁZ!AQ101+ÓVODA!AQ101+PMH!AQ101+ÖNKORMÁNYZAT!AQ101</f>
        <v>258570978</v>
      </c>
      <c r="AR101" s="55">
        <f t="shared" si="9"/>
        <v>89764783</v>
      </c>
      <c r="AS101" s="54">
        <f t="shared" si="10"/>
        <v>74.230385435505141</v>
      </c>
      <c r="AT101" s="55">
        <f>BÖLCSŐDE!AT101+FALUHÁZ!AT101+ÓVODA!AT101+PMH!AT101+ÖNKORMÁNYZAT!AT101</f>
        <v>282261056</v>
      </c>
      <c r="AU101" s="55">
        <f t="shared" si="11"/>
        <v>66074705</v>
      </c>
      <c r="AV101" s="54">
        <f t="shared" si="12"/>
        <v>18.968682632616638</v>
      </c>
      <c r="AW101" s="55">
        <f>BÖLCSŐDE!AW101+FALUHÁZ!AW101+ÓVODA!AW101+PMH!AW101+ÖNKORMÁNYZAT!AW101</f>
        <v>369567358.37</v>
      </c>
      <c r="AX101" s="55">
        <f>BÖLCSŐDE!AX101+FALUHÁZ!AX101+ÓVODA!AX101+PMH!AX101+ÖNKORMÁNYZAT!AX101</f>
        <v>387677683.49599999</v>
      </c>
      <c r="AY101" s="55">
        <f>BÖLCSŐDE!AY101+FALUHÁZ!AY101+ÓVODA!AY101+PMH!AY101+ÖNKORMÁNYZAT!AY101</f>
        <v>379887960.45599997</v>
      </c>
      <c r="AZ101" s="55">
        <f>BÖLCSŐDE!AZ101+FALUHÁZ!AZ101+ÓVODA!AZ101+PMH!AZ101+ÖNKORMÁNYZAT!AZ101</f>
        <v>375929921.41999996</v>
      </c>
      <c r="BA101" s="55">
        <f>BÖLCSŐDE!BA101+FALUHÁZ!BA101+ÓVODA!BA101+PMH!BA101+ÖNKORMÁNYZAT!BA101</f>
        <v>393499744.0200001</v>
      </c>
      <c r="BB101" s="501">
        <f>BÖLCSŐDE!BB101+FALUHÁZ!BB101+ÓVODA!BB101+PMH!BB101+ÖNKORMÁNYZAT!BB101</f>
        <v>379264779</v>
      </c>
      <c r="BC101" s="501">
        <f>BÖLCSŐDE!BC101+FALUHÁZ!BC101+ÓVODA!BC101+PMH!BC101+ÖNKORMÁNYZAT!BC101</f>
        <v>379264779</v>
      </c>
      <c r="BD101" s="501">
        <f>BÖLCSŐDE!BD101+FALUHÁZ!BD101+ÓVODA!BD101+PMH!BD101+ÖNKORMÁNYZAT!BD101</f>
        <v>205889155</v>
      </c>
      <c r="BE101" s="501">
        <f>BÖLCSŐDE!BE101+FALUHÁZ!BE101+ÓVODA!BE101+PMH!BE101+ÖNKORMÁNYZAT!BE101</f>
        <v>262013854</v>
      </c>
      <c r="BF101" s="501">
        <f>BÖLCSŐDE!BF101+FALUHÁZ!BF101+ÓVODA!BF101+PMH!BF101+ÖNKORMÁNYZAT!BF101</f>
        <v>290886632</v>
      </c>
      <c r="BG101" s="383">
        <f>BÖLCSŐDE!BG101+FALUHÁZ!BG101+ÓVODA!BG101+PMH!BG101+ÖNKORMÁNYZAT!BG101</f>
        <v>349063958.39999998</v>
      </c>
      <c r="BH101" s="65">
        <f>BÖLCSŐDE!BH101+FALUHÁZ!BH101+ÓVODA!BH101+PMH!BH101+ÖNKORMÁNYZAT!BH101</f>
        <v>427858239</v>
      </c>
      <c r="BI101" s="65">
        <f>BÖLCSŐDE!BI101+FALUHÁZ!BI101+ÓVODA!BI101+PMH!BI101+ÖNKORMÁNYZAT!BI101</f>
        <v>429682668</v>
      </c>
      <c r="BJ101" s="65">
        <f>BÖLCSŐDE!BJ101+FALUHÁZ!BJ101+ÓVODA!BJ101+PMH!BJ101+ÖNKORMÁNYZAT!BJ101</f>
        <v>186419348</v>
      </c>
      <c r="BK101" s="65">
        <f>BÖLCSŐDE!BK101+FALUHÁZ!BK101+ÓVODA!BK101+PMH!BK101+ÖNKORMÁNYZAT!BK101</f>
        <v>314566183</v>
      </c>
      <c r="BL101" s="65">
        <f>BÖLCSŐDE!BL101+FALUHÁZ!BL101+ÓVODA!BL101+PMH!BL101+ÖNKORMÁNYZAT!BL101</f>
        <v>399521644</v>
      </c>
      <c r="BM101" s="65">
        <f>BÖLCSŐDE!BM101+FALUHÁZ!BM101+ÓVODA!BM101+PMH!BM101+ÖNKORMÁNYZAT!BM101</f>
        <v>482776266</v>
      </c>
      <c r="BN101" s="65">
        <f>BÖLCSŐDE!BN101+FALUHÁZ!BN101+ÓVODA!BN101+PMH!BN101+ÖNKORMÁNYZAT!BN101</f>
        <v>482776266</v>
      </c>
      <c r="BO101" s="65">
        <f>BÖLCSŐDE!BO101+FALUHÁZ!BO101+ÓVODA!BO101+PMH!BO101+ÖNKORMÁNYZAT!BO101</f>
        <v>354548256</v>
      </c>
      <c r="BP101" s="65">
        <f>BÖLCSŐDE!BP101+FALUHÁZ!BP101+ÓVODA!BP101+PMH!BP101+ÖNKORMÁNYZAT!BP101</f>
        <v>415095739</v>
      </c>
      <c r="BQ101" s="65">
        <f>BÖLCSŐDE!BQ101+FALUHÁZ!BQ101+ÓVODA!BQ101+PMH!BQ101+ÖNKORMÁNYZAT!BQ101</f>
        <v>515052347</v>
      </c>
      <c r="BR101" s="65">
        <f>BÖLCSŐDE!BR101+FALUHÁZ!BR101+ÓVODA!BR101+PMH!BR101+ÖNKORMÁNYZAT!BR101</f>
        <v>537267472</v>
      </c>
      <c r="BS101" s="65">
        <f>BÖLCSŐDE!BS101+FALUHÁZ!BS101+ÓVODA!BS101+PMH!BS101+ÖNKORMÁNYZAT!BS101</f>
        <v>570078024</v>
      </c>
      <c r="BT101" s="65">
        <f>BÖLCSŐDE!BT101+FALUHÁZ!BT101+ÓVODA!BT101+PMH!BT101+ÖNKORMÁNYZAT!BT101</f>
        <v>555086115</v>
      </c>
      <c r="BU101" s="65">
        <f>BÖLCSŐDE!BU101+FALUHÁZ!BU101+ÓVODA!BU101+PMH!BU101+ÖNKORMÁNYZAT!BU101</f>
        <v>654260807</v>
      </c>
      <c r="BV101" s="889">
        <f>BÖLCSŐDE!BV101+FALUHÁZ!BV101+ÓVODA!BV101+PMH!BV101+ÖNKORMÁNYZAT!BV101</f>
        <v>701359601</v>
      </c>
    </row>
    <row r="102" spans="1:74" x14ac:dyDescent="0.25">
      <c r="I102" s="1">
        <f t="shared" si="14"/>
        <v>0</v>
      </c>
      <c r="M102" s="1">
        <f t="shared" si="15"/>
        <v>0</v>
      </c>
      <c r="O102" s="71">
        <f>BÖLCSŐDE!O102+FALUHÁZ!N102+ÓVODA!O102+PMH!O102+ÖNKORMÁNYZAT!O102</f>
        <v>0</v>
      </c>
      <c r="P102" s="71">
        <f>BÖLCSŐDE!P102+FALUHÁZ!O102+ÓVODA!P102+PMH!P102+ÖNKORMÁNYZAT!P102</f>
        <v>0</v>
      </c>
      <c r="AF102" s="120"/>
      <c r="AG102" s="120"/>
      <c r="AS102" s="54"/>
      <c r="AV102" s="54"/>
      <c r="BF102" s="219"/>
      <c r="BI102" s="65"/>
      <c r="BU102" s="65"/>
      <c r="BV102" s="65"/>
    </row>
    <row r="103" spans="1:74" ht="18.75" customHeight="1" x14ac:dyDescent="0.25">
      <c r="A103" s="11" t="s">
        <v>3</v>
      </c>
      <c r="B103" s="12"/>
      <c r="C103" s="1">
        <f t="shared" ref="C103:H103" si="17">SUM(C2:C37)</f>
        <v>791777703.98000002</v>
      </c>
      <c r="D103" s="1">
        <f t="shared" si="17"/>
        <v>964069609</v>
      </c>
      <c r="E103" s="1">
        <f t="shared" si="17"/>
        <v>961688505.55999994</v>
      </c>
      <c r="F103" s="1">
        <f t="shared" si="17"/>
        <v>868486668</v>
      </c>
      <c r="G103" s="1">
        <f t="shared" si="17"/>
        <v>973205178</v>
      </c>
      <c r="H103" s="1">
        <f t="shared" si="17"/>
        <v>938627111</v>
      </c>
      <c r="I103" s="1">
        <f t="shared" si="14"/>
        <v>1023956848.3636364</v>
      </c>
      <c r="J103" s="1">
        <f>SUM(J2:J37)</f>
        <v>830384603.07007873</v>
      </c>
      <c r="K103" s="1">
        <v>819715925.27674532</v>
      </c>
      <c r="L103" s="1" t="e">
        <f>SUM(L2:L37)</f>
        <v>#REF!</v>
      </c>
      <c r="M103" s="1" t="e">
        <f t="shared" si="15"/>
        <v>#REF!</v>
      </c>
      <c r="O103" s="71">
        <f>BÖLCSŐDE!O103+FALUHÁZ!N103+ÓVODA!O103+PMH!O103+ÖNKORMÁNYZAT!O103</f>
        <v>1208167039</v>
      </c>
      <c r="P103" s="71">
        <f>BÖLCSŐDE!P103+FALUHÁZ!O103+ÓVODA!P103+PMH!P103+ÖNKORMÁNYZAT!P103</f>
        <v>1064346752</v>
      </c>
      <c r="Q103" s="71">
        <f>BÖLCSŐDE!Q103+FALUHÁZ!P103+ÓVODA!Q103+PMH!Q103+ÖNKORMÁNYZAT!Q103</f>
        <v>1149419837</v>
      </c>
      <c r="R103" s="71">
        <f>BÖLCSŐDE!R103+FALUHÁZ!Q103+ÓVODA!R103+PMH!R103+ÖNKORMÁNYZAT!R103</f>
        <v>804212362.47109997</v>
      </c>
      <c r="S103" s="71">
        <f>BÖLCSŐDE!S103+FALUHÁZ!R103+ÓVODA!S103+PMH!S103+ÖNKORMÁNYZAT!S103</f>
        <v>1229290860</v>
      </c>
      <c r="T103" s="71">
        <f>BÖLCSŐDE!T103+FALUHÁZ!S103+ÓVODA!T103+PMH!T103+ÖNKORMÁNYZAT!T103</f>
        <v>1284961295</v>
      </c>
      <c r="U103" s="71">
        <f>BÖLCSŐDE!U103+FALUHÁZ!T103+ÓVODA!U103+PMH!U103+ÖNKORMÁNYZAT!U103</f>
        <v>831691795.18000007</v>
      </c>
      <c r="V103" s="71">
        <f>BÖLCSŐDE!V103+FALUHÁZ!U103+ÓVODA!V103+PMH!V103+ÖNKORMÁNYZAT!V103</f>
        <v>956191795.18000007</v>
      </c>
      <c r="W103" s="71">
        <f>BÖLCSŐDE!W103+FALUHÁZ!V103+ÓVODA!W103+PMH!W103+ÖNKORMÁNYZAT!W103</f>
        <v>922492070.18000007</v>
      </c>
      <c r="X103" s="71">
        <f>BÖLCSŐDE!X103+FALUHÁZ!W103+ÓVODA!X103+PMH!X103+ÖNKORMÁNYZAT!X103</f>
        <v>443.14527455583277</v>
      </c>
      <c r="Y103" s="71">
        <f>BÖLCSŐDE!Y103+FALUHÁZ!X103+ÓVODA!Y103+PMH!Y103+ÖNKORMÁNYZAT!Y103</f>
        <v>0</v>
      </c>
      <c r="Z103" s="71">
        <f>BÖLCSŐDE!Z103+FALUHÁZ!Y103+ÓVODA!Z103+PMH!Z103+ÖNKORMÁNYZAT!Z103</f>
        <v>0</v>
      </c>
      <c r="AA103" s="71">
        <f>BÖLCSŐDE!AA103+FALUHÁZ!Z103+ÓVODA!AA103+PMH!AA103+ÖNKORMÁNYZAT!AA103</f>
        <v>1306612096.6099999</v>
      </c>
      <c r="AB103" s="71">
        <f>BÖLCSŐDE!AB103+FALUHÁZ!AA103+ÓVODA!AB103+PMH!AB103+ÖNKORMÁNYZAT!AB103</f>
        <v>810842442</v>
      </c>
      <c r="AC103" s="71">
        <f>BÖLCSŐDE!AC103+FALUHÁZ!AB103+ÓVODA!AC103+PMH!AC103+ÖNKORMÁNYZAT!AC103</f>
        <v>1094096021</v>
      </c>
      <c r="AD103" s="71">
        <f>BÖLCSŐDE!AD103+FALUHÁZ!AC103+ÓVODA!AD103+PMH!AD103+ÖNKORMÁNYZAT!AD103</f>
        <v>880881593</v>
      </c>
      <c r="AE103" s="71" t="e">
        <f>BÖLCSŐDE!AE103+FALUHÁZ!AE103+ÓVODA!AE103+PMH!AE103+ÖNKORMÁNYZAT!AE103</f>
        <v>#DIV/0!</v>
      </c>
      <c r="AF103" s="71">
        <f>BÖLCSŐDE!AF103+FALUHÁZ!AF103+ÓVODA!AF103+PMH!AF103+ÖNKORMÁNYZAT!AF103</f>
        <v>350904880</v>
      </c>
      <c r="AG103" s="71">
        <f>BÖLCSŐDE!AG103+FALUHÁZ!AG103+ÓVODA!AG103+PMH!AG103+ÖNKORMÁNYZAT!AG103</f>
        <v>1094936613</v>
      </c>
      <c r="AH103" s="71"/>
      <c r="AI103" s="71">
        <f>BÖLCSŐDE!AI103+FALUHÁZ!AJ103+ÓVODA!AI103+PMH!AI103+ÖNKORMÁNYZAT!AI103</f>
        <v>1488551512.7279997</v>
      </c>
      <c r="AJ103" s="71"/>
      <c r="AK103" s="71">
        <f>BÖLCSŐDE!AL103+FALUHÁZ!AK103+ÓVODA!AK103+PMH!AK103+ÖNKORMÁNYZAT!AK103</f>
        <v>1605816813.6509998</v>
      </c>
      <c r="AL103" s="71">
        <f>BÖLCSŐDE!AM103+FALUHÁZ!AL103+ÓVODA!AL103+PMH!AL103+ÖNKORMÁNYZAT!AL103</f>
        <v>294101686</v>
      </c>
      <c r="AM103" s="71">
        <f>BÖLCSŐDE!AM103+FALUHÁZ!AM103+ÓVODA!AM103+PMH!AM103+ÖNKORMÁNYZAT!AM103</f>
        <v>1733105325</v>
      </c>
      <c r="AN103" s="71">
        <f>BÖLCSŐDE!AN103+FALUHÁZ!AN103+ÓVODA!AP103+PMH!AN103+ÖNKORMÁNYZAT!AP103</f>
        <v>1689986294</v>
      </c>
      <c r="AO103" s="71">
        <f>BÖLCSŐDE!AO103+FALUHÁZ!AO103+ÓVODA!AQ103+PMH!AO103+ÖNKORMÁNYZAT!AQ103</f>
        <v>1327262981</v>
      </c>
      <c r="AP103" s="65">
        <f>SUM(AP2:AP37)</f>
        <v>1699907024</v>
      </c>
      <c r="AQ103" s="65">
        <f>SUM(AQ2:AQ37)</f>
        <v>1389367293</v>
      </c>
      <c r="AR103" s="65">
        <f>SUM(AR2:AR37)</f>
        <v>310539731</v>
      </c>
      <c r="AS103" s="54">
        <f t="shared" si="10"/>
        <v>81.731957888539199</v>
      </c>
      <c r="AT103" s="65">
        <f>SUM(AT2:AT37)</f>
        <v>1479344955</v>
      </c>
      <c r="AU103" s="65">
        <f>SUM(AU2:AU37)</f>
        <v>415938846</v>
      </c>
      <c r="AV103" s="54"/>
      <c r="AW103" s="65">
        <f t="shared" ref="AW103:BL103" si="18">SUM(AW2:AW37)</f>
        <v>1717330567.3699999</v>
      </c>
      <c r="AX103" s="65">
        <f t="shared" si="18"/>
        <v>1231008343.9960001</v>
      </c>
      <c r="AY103" s="65">
        <f t="shared" si="18"/>
        <v>1276218620.9559999</v>
      </c>
      <c r="AZ103" s="65">
        <f t="shared" si="18"/>
        <v>1276304638.9200001</v>
      </c>
      <c r="BA103" s="65">
        <f t="shared" si="18"/>
        <v>1303658953.52</v>
      </c>
      <c r="BB103" s="501">
        <f t="shared" si="18"/>
        <v>1279639497</v>
      </c>
      <c r="BC103" s="501">
        <f t="shared" si="18"/>
        <v>1416791891</v>
      </c>
      <c r="BD103" s="501">
        <f t="shared" si="18"/>
        <v>865949144</v>
      </c>
      <c r="BE103" s="501">
        <f t="shared" si="18"/>
        <v>1046868986</v>
      </c>
      <c r="BF103" s="221">
        <f t="shared" si="18"/>
        <v>1123393006</v>
      </c>
      <c r="BG103" s="221">
        <f t="shared" si="18"/>
        <v>1347671607.1999998</v>
      </c>
      <c r="BH103" s="221">
        <f t="shared" si="18"/>
        <v>1327351735.0799999</v>
      </c>
      <c r="BI103" s="221">
        <f t="shared" si="18"/>
        <v>1670847647</v>
      </c>
      <c r="BJ103" s="221">
        <f t="shared" si="18"/>
        <v>653359546</v>
      </c>
      <c r="BK103" s="221">
        <f t="shared" si="18"/>
        <v>1369644417</v>
      </c>
      <c r="BL103" s="221">
        <f t="shared" si="18"/>
        <v>1099601484.4000001</v>
      </c>
      <c r="BM103" s="221">
        <f t="shared" ref="BM103:BO103" si="19">SUM(BM2:BM37)</f>
        <v>1711689082.0880001</v>
      </c>
      <c r="BN103" s="65">
        <f t="shared" ref="BN103" si="20">SUM(BN2:BN37)</f>
        <v>1711689082</v>
      </c>
      <c r="BO103" s="65">
        <f t="shared" si="19"/>
        <v>2142768374</v>
      </c>
      <c r="BP103" s="65">
        <f t="shared" ref="BP103:BQ103" si="21">SUM(BP2:BP37)</f>
        <v>2269590506.1999998</v>
      </c>
      <c r="BQ103" s="65">
        <f t="shared" si="21"/>
        <v>2307744042.75</v>
      </c>
      <c r="BR103" s="65">
        <f t="shared" ref="BR103:BS103" si="22">SUM(BR2:BR37)</f>
        <v>2312342883</v>
      </c>
      <c r="BS103" s="65">
        <f t="shared" si="22"/>
        <v>2332130268</v>
      </c>
      <c r="BT103" s="65">
        <f t="shared" ref="BT103" si="23">SUM(BT2:BT37)</f>
        <v>2501524635</v>
      </c>
      <c r="BU103" s="65">
        <f>SUM(BU2:BU37)</f>
        <v>1933231303</v>
      </c>
      <c r="BV103" s="65">
        <f>SUM(BV2:BV37)</f>
        <v>1695591692</v>
      </c>
    </row>
    <row r="104" spans="1:74" x14ac:dyDescent="0.25">
      <c r="A104" s="11" t="s">
        <v>4</v>
      </c>
      <c r="B104" s="12"/>
      <c r="C104" s="1">
        <f t="shared" ref="C104:H104" si="24">SUM(C38:C101)</f>
        <v>805173760</v>
      </c>
      <c r="D104" s="1">
        <f t="shared" si="24"/>
        <v>703168314.44000006</v>
      </c>
      <c r="E104" s="1">
        <f t="shared" si="24"/>
        <v>909250748.45666671</v>
      </c>
      <c r="F104" s="1">
        <f t="shared" si="24"/>
        <v>670446548</v>
      </c>
      <c r="G104" s="1">
        <f t="shared" si="24"/>
        <v>971906541.07999992</v>
      </c>
      <c r="H104" s="1">
        <f t="shared" si="24"/>
        <v>748081010</v>
      </c>
      <c r="I104" s="1">
        <f t="shared" si="14"/>
        <v>816088374.5454545</v>
      </c>
      <c r="J104" s="1">
        <f>SUM(J38:J101)</f>
        <v>993722977.83015752</v>
      </c>
      <c r="K104" s="1">
        <v>950869143.44349074</v>
      </c>
      <c r="L104" s="1" t="e">
        <f>SUM(L38:L101)</f>
        <v>#REF!</v>
      </c>
      <c r="M104" s="1" t="e">
        <f t="shared" si="15"/>
        <v>#REF!</v>
      </c>
      <c r="O104" s="71">
        <f>BÖLCSŐDE!O104+FALUHÁZ!N104+ÓVODA!O104+PMH!O104+ÖNKORMÁNYZAT!O104</f>
        <v>1209025803</v>
      </c>
      <c r="P104" s="71">
        <f>BÖLCSŐDE!P104+FALUHÁZ!O104+ÓVODA!P104+PMH!P104+ÖNKORMÁNYZAT!P104</f>
        <v>719254591.20000005</v>
      </c>
      <c r="Q104" s="71">
        <f>BÖLCSŐDE!Q104+FALUHÁZ!P104+ÓVODA!Q104+PMH!Q104+ÖNKORMÁNYZAT!Q104</f>
        <v>795754046.39999998</v>
      </c>
      <c r="R104" s="71">
        <f>BÖLCSŐDE!R104+FALUHÁZ!Q104+ÓVODA!R104+PMH!R104+ÖNKORMÁNYZAT!R104</f>
        <v>1353507060.9421999</v>
      </c>
      <c r="S104" s="71">
        <f>BÖLCSŐDE!S104+FALUHÁZ!R104+ÓVODA!S104+PMH!S104+ÖNKORMÁNYZAT!S104</f>
        <v>1229161938</v>
      </c>
      <c r="T104" s="71">
        <f>BÖLCSŐDE!T104+FALUHÁZ!S104+ÓVODA!T104+PMH!T104+ÖNKORMÁNYZAT!T104</f>
        <v>969213233.79999995</v>
      </c>
      <c r="U104" s="71">
        <f>BÖLCSŐDE!U104+FALUHÁZ!T104+ÓVODA!U104+PMH!U104+ÖNKORMÁNYZAT!U104</f>
        <v>1381365915.0600002</v>
      </c>
      <c r="V104" s="71">
        <f>BÖLCSŐDE!V104+FALUHÁZ!U104+ÓVODA!V104+PMH!V104+ÖNKORMÁNYZAT!V104</f>
        <v>1236263419.0600002</v>
      </c>
      <c r="W104" s="71">
        <f>BÖLCSŐDE!W104+FALUHÁZ!V104+ÓVODA!W104+PMH!W104+ÖNKORMÁNYZAT!W104</f>
        <v>1223649094.0600002</v>
      </c>
      <c r="X104" s="71">
        <f>BÖLCSŐDE!X104+FALUHÁZ!W104+ÓVODA!X104+PMH!X104+ÖNKORMÁNYZAT!X104</f>
        <v>352.97174621085492</v>
      </c>
      <c r="Y104" s="71">
        <f>BÖLCSŐDE!Y104+FALUHÁZ!X104+ÓVODA!Y104+PMH!Y104+ÖNKORMÁNYZAT!Y104</f>
        <v>0</v>
      </c>
      <c r="Z104" s="71">
        <f>BÖLCSŐDE!Z104+FALUHÁZ!Y104+ÓVODA!Z104+PMH!Z104+ÖNKORMÁNYZAT!Z104</f>
        <v>0</v>
      </c>
      <c r="AA104" s="71">
        <f>BÖLCSŐDE!AA104+FALUHÁZ!Z104+ÓVODA!AA104+PMH!AA104+ÖNKORMÁNYZAT!AA104</f>
        <v>1300199097.0600002</v>
      </c>
      <c r="AB104" s="71">
        <f>BÖLCSŐDE!AB104+FALUHÁZ!AA104+ÓVODA!AB104+PMH!AB104+ÖNKORMÁNYZAT!AB104</f>
        <v>564953004</v>
      </c>
      <c r="AC104" s="71">
        <f>BÖLCSŐDE!AC104+FALUHÁZ!AB104+ÓVODA!AC104+PMH!AC104+ÖNKORMÁNYZAT!AC104</f>
        <v>855855503</v>
      </c>
      <c r="AD104" s="71">
        <f>BÖLCSŐDE!AD104+FALUHÁZ!AC104+ÓVODA!AD104+PMH!AD104+ÖNKORMÁNYZAT!AD104</f>
        <v>942802490</v>
      </c>
      <c r="AE104" s="71" t="e">
        <f>BÖLCSŐDE!AE104+FALUHÁZ!AD104+ÓVODA!AE104+PMH!AE104+ÖNKORMÁNYZAT!AE104</f>
        <v>#DIV/0!</v>
      </c>
      <c r="AF104" s="71">
        <f>BÖLCSŐDE!AF104+FALUHÁZ!AF104+ÓVODA!AF104+PMH!AF104+ÖNKORMÁNYZAT!AF104</f>
        <v>347407300</v>
      </c>
      <c r="AG104" s="71">
        <f>BÖLCSŐDE!AG104+FALUHÁZ!AG104+ÓVODA!AG104+PMH!AG104+ÖNKORMÁNYZAT!AG104</f>
        <v>1218633532</v>
      </c>
      <c r="AH104" s="71"/>
      <c r="AI104" s="71">
        <f>BÖLCSŐDE!AI104+FALUHÁZ!AJ104+ÓVODA!AI104+PMH!AI104+ÖNKORMÁNYZAT!AI104</f>
        <v>1767700083.9424</v>
      </c>
      <c r="AJ104" s="71"/>
      <c r="AK104" s="71">
        <f>BÖLCSŐDE!AL104+FALUHÁZ!AK104+ÓVODA!AK104+PMH!AK104+ÖNKORMÁNYZAT!AK104</f>
        <v>1552122283.8883998</v>
      </c>
      <c r="AL104" s="71">
        <f>BÖLCSŐDE!AM104+FALUHÁZ!AL104+ÓVODA!AL104+PMH!AL104+ÖNKORMÁNYZAT!AL104</f>
        <v>95826472.200000003</v>
      </c>
      <c r="AM104" s="71">
        <f>BÖLCSŐDE!AM104+FALUHÁZ!AM104+ÓVODA!AM104+PMH!AM104+ÖNKORMÁNYZAT!AM104</f>
        <v>1588828123</v>
      </c>
      <c r="AN104" s="71">
        <f>BÖLCSŐDE!AN104+FALUHÁZ!AN104+ÓVODA!AP104+PMH!AN104+ÖNKORMÁNYZAT!AP104</f>
        <v>1695449001</v>
      </c>
      <c r="AO104" s="71">
        <f>BÖLCSŐDE!AO104+FALUHÁZ!AO104+ÓVODA!AQ104+PMH!AO104+ÖNKORMÁNYZAT!AQ104</f>
        <v>1233285987</v>
      </c>
      <c r="AP104" s="65" t="e">
        <f t="shared" ref="AP104:AR104" si="25">SUM(AP38:AP101)</f>
        <v>#REF!</v>
      </c>
      <c r="AQ104" s="65" t="e">
        <f t="shared" si="25"/>
        <v>#REF!</v>
      </c>
      <c r="AR104" s="65" t="e">
        <f t="shared" si="25"/>
        <v>#REF!</v>
      </c>
      <c r="AS104" s="54" t="e">
        <f t="shared" si="10"/>
        <v>#REF!</v>
      </c>
      <c r="AT104" s="65" t="e">
        <f t="shared" ref="AT104:AU104" si="26">SUM(AT38:AT101)</f>
        <v>#REF!</v>
      </c>
      <c r="AU104" s="65" t="e">
        <f t="shared" si="26"/>
        <v>#REF!</v>
      </c>
      <c r="AV104" s="54"/>
      <c r="AW104" s="65" t="e">
        <f t="shared" ref="AW104" si="27">SUM(AW38:AW101)</f>
        <v>#REF!</v>
      </c>
      <c r="AX104" s="65" t="e">
        <f t="shared" ref="AX104:AY104" si="28">SUM(AX38:AX101)</f>
        <v>#REF!</v>
      </c>
      <c r="AY104" s="65" t="e">
        <f t="shared" si="28"/>
        <v>#REF!</v>
      </c>
      <c r="AZ104" s="65" t="e">
        <f t="shared" ref="AZ104" si="29">SUM(AZ38:AZ101)</f>
        <v>#REF!</v>
      </c>
      <c r="BA104" s="65" t="e">
        <f t="shared" ref="BA104:BC104" si="30">SUM(BA38:BA101)</f>
        <v>#REF!</v>
      </c>
      <c r="BB104" s="501">
        <f t="shared" ref="BB104" si="31">SUM(BB38:BB101)</f>
        <v>1277497701</v>
      </c>
      <c r="BC104" s="501">
        <f t="shared" si="30"/>
        <v>1412683785</v>
      </c>
      <c r="BD104" s="501">
        <f t="shared" ref="BD104" si="32">SUM(BD38:BD101)</f>
        <v>758750940</v>
      </c>
      <c r="BE104" s="501">
        <f t="shared" ref="BE104" si="33">SUM(BE38:BE101)</f>
        <v>951545914</v>
      </c>
      <c r="BF104" s="221">
        <f t="shared" ref="BF104:BG104" si="34">SUM(BF38:BF101)</f>
        <v>1039085359</v>
      </c>
      <c r="BG104" s="221">
        <f t="shared" si="34"/>
        <v>1213754108.0363636</v>
      </c>
      <c r="BH104" s="221">
        <f t="shared" ref="BH104" si="35">SUM(BH38:BH101)</f>
        <v>1324877889.52</v>
      </c>
      <c r="BI104" s="221">
        <f t="shared" ref="BI104:BO104" si="36">SUM(BI38:BI101)</f>
        <v>1667687807.98</v>
      </c>
      <c r="BJ104" s="221">
        <f t="shared" si="36"/>
        <v>618717832</v>
      </c>
      <c r="BK104" s="221">
        <f t="shared" si="36"/>
        <v>996429708</v>
      </c>
      <c r="BL104" s="221">
        <f t="shared" si="36"/>
        <v>1198589210.7999997</v>
      </c>
      <c r="BM104" s="221">
        <f t="shared" si="36"/>
        <v>1690845669.1784</v>
      </c>
      <c r="BN104" s="65">
        <f t="shared" ref="BN104" si="37">SUM(BN38:BN101)</f>
        <v>1714514081.3900001</v>
      </c>
      <c r="BO104" s="65">
        <f t="shared" si="36"/>
        <v>1166365172</v>
      </c>
      <c r="BP104" s="65">
        <f t="shared" ref="BP104:BQ104" si="38">SUM(BP38:BP101)</f>
        <v>1395391286.112</v>
      </c>
      <c r="BQ104" s="65">
        <f t="shared" si="38"/>
        <v>2455783407.2231998</v>
      </c>
      <c r="BR104" s="65">
        <f t="shared" ref="BR104:BS104" si="39">SUM(BR38:BR101)</f>
        <v>2460443305.9200001</v>
      </c>
      <c r="BS104" s="65">
        <f t="shared" si="39"/>
        <v>2537153796.96</v>
      </c>
      <c r="BT104" s="65">
        <f t="shared" ref="BT104" si="40">SUM(BT38:BT101)</f>
        <v>2484829389.21</v>
      </c>
      <c r="BU104" s="65">
        <f t="shared" ref="BU104:BV104" si="41">SUM(BU38:BU101)</f>
        <v>1755644820</v>
      </c>
      <c r="BV104" s="65">
        <f t="shared" si="41"/>
        <v>1873106473</v>
      </c>
    </row>
    <row r="105" spans="1:74" x14ac:dyDescent="0.25">
      <c r="A105" s="11"/>
      <c r="B105" s="1" t="s">
        <v>308</v>
      </c>
      <c r="C105" s="1">
        <f t="shared" ref="C105:H105" si="42">SUM(C39:C55)</f>
        <v>239214625</v>
      </c>
      <c r="D105" s="1">
        <f t="shared" si="42"/>
        <v>222527512.44</v>
      </c>
      <c r="E105" s="1">
        <f t="shared" si="42"/>
        <v>266162749.74666667</v>
      </c>
      <c r="F105" s="1">
        <f t="shared" si="42"/>
        <v>217153291</v>
      </c>
      <c r="G105" s="1">
        <f t="shared" si="42"/>
        <v>266162750.07999998</v>
      </c>
      <c r="H105" s="1">
        <f t="shared" si="42"/>
        <v>239674132</v>
      </c>
      <c r="I105" s="1">
        <f t="shared" si="14"/>
        <v>261462689.45454544</v>
      </c>
      <c r="J105" s="1">
        <f>SUM(J39:J55)</f>
        <v>273877613</v>
      </c>
      <c r="K105" s="1">
        <v>272995796.60666668</v>
      </c>
      <c r="L105" s="1" t="e">
        <f>SUM(L39:L55)</f>
        <v>#REF!</v>
      </c>
      <c r="M105" s="1" t="e">
        <f t="shared" si="15"/>
        <v>#REF!</v>
      </c>
      <c r="O105" s="71">
        <f>BÖLCSŐDE!O105+FALUHÁZ!N105+ÓVODA!O105+PMH!O105+ÖNKORMÁNYZAT!O105</f>
        <v>275015797</v>
      </c>
      <c r="P105" s="71">
        <f>BÖLCSŐDE!P105+FALUHÁZ!O105+ÓVODA!P105+PMH!P105+ÖNKORMÁNYZAT!P105</f>
        <v>208642372</v>
      </c>
      <c r="Q105" s="71">
        <f>BÖLCSŐDE!Q105+FALUHÁZ!P105+ÓVODA!Q105+PMH!Q105+ÖNKORMÁNYZAT!Q105</f>
        <v>230691497</v>
      </c>
      <c r="R105" s="71">
        <f>BÖLCSŐDE!R105+FALUHÁZ!Q105+ÓVODA!R105+PMH!R105+ÖNKORMÁNYZAT!R105</f>
        <v>301264732.47109997</v>
      </c>
      <c r="S105" s="71">
        <f>BÖLCSŐDE!S105+FALUHÁZ!R105+ÓVODA!S105+PMH!S105+ÖNKORMÁNYZAT!S105</f>
        <v>283049252</v>
      </c>
      <c r="T105" s="71">
        <f>BÖLCSŐDE!T105+FALUHÁZ!S105+ÓVODA!T105+PMH!T105+ÖNKORMÁNYZAT!T105</f>
        <v>281597065</v>
      </c>
      <c r="U105" s="1">
        <f>SUM(U39:U55)</f>
        <v>307145546.18000001</v>
      </c>
      <c r="V105" s="1">
        <f>SUM(V39:V55)</f>
        <v>307145546.18000001</v>
      </c>
      <c r="W105" s="1">
        <f>SUM(W39:W55)</f>
        <v>306765546.18000001</v>
      </c>
      <c r="X105" s="125">
        <f t="shared" si="16"/>
        <v>91.681962672827581</v>
      </c>
      <c r="AA105" s="1">
        <f t="shared" ref="AA105:AG105" si="43">SUM(AA39:AA55)</f>
        <v>308670496.18000001</v>
      </c>
      <c r="AB105" s="1">
        <f t="shared" si="43"/>
        <v>147372668</v>
      </c>
      <c r="AC105" s="1">
        <f t="shared" si="43"/>
        <v>147372668</v>
      </c>
      <c r="AD105" s="1">
        <f t="shared" si="43"/>
        <v>196293779</v>
      </c>
      <c r="AE105" s="1">
        <f t="shared" si="43"/>
        <v>42242574.414476193</v>
      </c>
      <c r="AF105" s="1" t="e">
        <f t="shared" si="43"/>
        <v>#DIV/0!</v>
      </c>
      <c r="AG105" s="1" t="e">
        <f t="shared" si="43"/>
        <v>#REF!</v>
      </c>
      <c r="AI105" s="1" t="e">
        <f>SUM(AI39:AI55)</f>
        <v>#REF!</v>
      </c>
      <c r="AJ105" s="1"/>
      <c r="AK105" s="1" t="e">
        <f>SUM(AK39:AK55)</f>
        <v>#REF!</v>
      </c>
      <c r="AL105" s="1">
        <f t="shared" ref="AL105:AR105" si="44">SUM(AL39:AL55)</f>
        <v>0</v>
      </c>
      <c r="AM105" s="1" t="e">
        <f t="shared" si="44"/>
        <v>#REF!</v>
      </c>
      <c r="AN105" s="1" t="e">
        <f t="shared" si="44"/>
        <v>#REF!</v>
      </c>
      <c r="AO105" s="1" t="e">
        <f t="shared" si="44"/>
        <v>#REF!</v>
      </c>
      <c r="AP105" s="65" t="e">
        <f t="shared" si="44"/>
        <v>#REF!</v>
      </c>
      <c r="AQ105" s="65" t="e">
        <f t="shared" si="44"/>
        <v>#REF!</v>
      </c>
      <c r="AR105" s="65" t="e">
        <f t="shared" si="44"/>
        <v>#REF!</v>
      </c>
      <c r="AS105" s="54" t="e">
        <f t="shared" si="10"/>
        <v>#REF!</v>
      </c>
      <c r="AT105" s="65" t="e">
        <f t="shared" ref="AT105:AU105" si="45">SUM(AT39:AT55)</f>
        <v>#REF!</v>
      </c>
      <c r="AU105" s="65" t="e">
        <f t="shared" si="45"/>
        <v>#REF!</v>
      </c>
      <c r="AV105" s="54"/>
      <c r="AW105" s="65" t="e">
        <f t="shared" ref="AW105" si="46">SUM(AW39:AW55)</f>
        <v>#REF!</v>
      </c>
      <c r="AX105" s="65" t="e">
        <f t="shared" ref="AX105:AY105" si="47">SUM(AX39:AX55)</f>
        <v>#REF!</v>
      </c>
      <c r="AY105" s="65" t="e">
        <f t="shared" si="47"/>
        <v>#REF!</v>
      </c>
      <c r="AZ105" s="65" t="e">
        <f t="shared" ref="AZ105" si="48">SUM(AZ39:AZ55)</f>
        <v>#REF!</v>
      </c>
      <c r="BA105" s="65" t="e">
        <f t="shared" ref="BA105:BC105" si="49">SUM(BA39:BA55)</f>
        <v>#REF!</v>
      </c>
      <c r="BB105" s="501">
        <f t="shared" ref="BB105" si="50">SUM(BB39:BB55)</f>
        <v>367082808</v>
      </c>
      <c r="BC105" s="501">
        <f t="shared" si="49"/>
        <v>367441313</v>
      </c>
      <c r="BD105" s="501">
        <f t="shared" ref="BD105" si="51">SUM(BD39:BD55)</f>
        <v>216508722</v>
      </c>
      <c r="BE105" s="501">
        <f t="shared" ref="BE105" si="52">SUM(BE39:BE55)</f>
        <v>272429426</v>
      </c>
      <c r="BF105" s="221">
        <f t="shared" ref="BF105:BG105" si="53">SUM(BF39:BF55)</f>
        <v>299001292</v>
      </c>
      <c r="BG105" s="221">
        <f t="shared" si="53"/>
        <v>326183227.63636363</v>
      </c>
      <c r="BH105" s="221">
        <f t="shared" ref="BH105" si="54">SUM(BH39:BH55)</f>
        <v>424517844</v>
      </c>
      <c r="BI105" s="221">
        <f t="shared" ref="BI105:BL105" si="55">SUM(BI39:BI55)</f>
        <v>428431854</v>
      </c>
      <c r="BJ105" s="221">
        <f t="shared" si="55"/>
        <v>205105784</v>
      </c>
      <c r="BK105" s="221">
        <f t="shared" si="55"/>
        <v>337718136</v>
      </c>
      <c r="BL105" s="221">
        <f t="shared" si="55"/>
        <v>429431854</v>
      </c>
      <c r="BM105" s="221">
        <f t="shared" ref="BM105:BO105" si="56">SUM(BM39:BM55)</f>
        <v>485072734.9684</v>
      </c>
      <c r="BN105" s="65">
        <f t="shared" ref="BN105" si="57">SUM(BN39:BN55)</f>
        <v>487897734.18000001</v>
      </c>
      <c r="BO105" s="65">
        <f t="shared" si="56"/>
        <v>383480967</v>
      </c>
      <c r="BP105" s="65">
        <f t="shared" ref="BP105:BQ105" si="58">SUM(BP39:BP55)</f>
        <v>478041815.39999992</v>
      </c>
      <c r="BQ105" s="65">
        <f t="shared" si="58"/>
        <v>525845996.94000012</v>
      </c>
      <c r="BR105" s="65">
        <f t="shared" ref="BR105:BS105" si="59">SUM(BR39:BR55)</f>
        <v>514825108.92000002</v>
      </c>
      <c r="BS105" s="65">
        <f t="shared" si="59"/>
        <v>560624678.96000004</v>
      </c>
      <c r="BT105" s="65">
        <f t="shared" ref="BT105" si="60">SUM(BT39:BT55)</f>
        <v>560624678.96000004</v>
      </c>
      <c r="BU105" s="65">
        <f t="shared" ref="BU105:BV105" si="61">SUM(BU39:BU55)</f>
        <v>664074948</v>
      </c>
      <c r="BV105" s="65">
        <f t="shared" si="61"/>
        <v>696772872</v>
      </c>
    </row>
    <row r="106" spans="1:74" x14ac:dyDescent="0.25">
      <c r="A106" s="11"/>
      <c r="B106" s="1" t="s">
        <v>309</v>
      </c>
      <c r="C106" s="1">
        <f t="shared" ref="C106:H106" si="62">SUM(C56:C88)+C100+C101</f>
        <v>443704135</v>
      </c>
      <c r="D106" s="1">
        <f t="shared" si="62"/>
        <v>441456082</v>
      </c>
      <c r="E106" s="1">
        <f t="shared" si="62"/>
        <v>489933387.56</v>
      </c>
      <c r="F106" s="1">
        <f t="shared" si="62"/>
        <v>349580271</v>
      </c>
      <c r="G106" s="1">
        <f t="shared" si="62"/>
        <v>550118955</v>
      </c>
      <c r="H106" s="1">
        <f t="shared" si="62"/>
        <v>386104247</v>
      </c>
      <c r="I106" s="1">
        <f t="shared" si="14"/>
        <v>421204633.09090912</v>
      </c>
      <c r="J106" s="1">
        <f>SUM(J56:J88)+J100+J101</f>
        <v>532778139.21007872</v>
      </c>
      <c r="K106" s="1">
        <v>491656121.21674538</v>
      </c>
      <c r="L106" s="1">
        <f>SUM(L56:L88)+L100+L101</f>
        <v>497880121</v>
      </c>
      <c r="M106" s="1">
        <f t="shared" si="15"/>
        <v>118.20385672076451</v>
      </c>
      <c r="O106" s="71">
        <f>BÖLCSŐDE!O106+FALUHÁZ!N106+ÓVODA!O106+PMH!O106+ÖNKORMÁNYZAT!O106</f>
        <v>568516765</v>
      </c>
      <c r="P106" s="71">
        <f>BÖLCSŐDE!P106+FALUHÁZ!O106+ÓVODA!P106+PMH!P106+ÖNKORMÁNYZAT!P106</f>
        <v>357514723.19999999</v>
      </c>
      <c r="Q106" s="71">
        <f>BÖLCSŐDE!Q106+FALUHÁZ!P106+ÓVODA!Q106+PMH!Q106+ÖNKORMÁNYZAT!Q106</f>
        <v>410412806.39999998</v>
      </c>
      <c r="R106" s="71">
        <f>BÖLCSŐDE!R106+FALUHÁZ!Q106+ÓVODA!R106+PMH!R106+ÖNKORMÁNYZAT!R106</f>
        <v>529546286.47109997</v>
      </c>
      <c r="S106" s="71">
        <f>BÖLCSŐDE!S106+FALUHÁZ!R106+ÓVODA!S106+PMH!S106+ÖNKORMÁNYZAT!S106</f>
        <v>577794412</v>
      </c>
      <c r="T106" s="71">
        <f>BÖLCSŐDE!T106+FALUHÁZ!S106+ÓVODA!T106+PMH!T106+ÖNKORMÁNYZAT!T106</f>
        <v>478125915.80000001</v>
      </c>
      <c r="U106" s="1">
        <f>SUM(U56:U88)+U100+U101</f>
        <v>542399156.18000007</v>
      </c>
      <c r="V106" s="1">
        <f>SUM(V56:V88)+V100+V101</f>
        <v>524727156.18000001</v>
      </c>
      <c r="W106" s="1">
        <f>SUM(W56:W88)+W100+W101</f>
        <v>509692831.18000001</v>
      </c>
      <c r="X106" s="125">
        <f t="shared" si="16"/>
        <v>91.118957760971284</v>
      </c>
      <c r="AA106" s="1">
        <f t="shared" ref="AA106:AG106" si="63">SUM(AA56:AA88)+AA100+AA101</f>
        <v>541195513.18000007</v>
      </c>
      <c r="AB106" s="1">
        <f t="shared" si="63"/>
        <v>305653955</v>
      </c>
      <c r="AC106" s="1">
        <f t="shared" si="63"/>
        <v>305653955</v>
      </c>
      <c r="AD106" s="1">
        <f t="shared" si="63"/>
        <v>423994644</v>
      </c>
      <c r="AE106" s="1">
        <f t="shared" si="63"/>
        <v>380438672.17124408</v>
      </c>
      <c r="AF106" s="1">
        <f t="shared" si="63"/>
        <v>1765.6442447206684</v>
      </c>
      <c r="AG106" s="1">
        <f t="shared" si="63"/>
        <v>536226445</v>
      </c>
      <c r="AI106" s="1">
        <f>SUM(AI56:AI88)+AI100+AI101</f>
        <v>667459755.50399995</v>
      </c>
      <c r="AJ106" s="1"/>
      <c r="AK106" s="1">
        <f>SUM(AK56:AK88)+AK100+AK101</f>
        <v>558011306.051</v>
      </c>
      <c r="AL106" s="1">
        <f t="shared" ref="AL106:AO106" si="64">SUM(AL56:AL88)+AL100+AL101</f>
        <v>0</v>
      </c>
      <c r="AM106" s="1">
        <f t="shared" si="64"/>
        <v>674632847</v>
      </c>
      <c r="AN106" s="1">
        <f t="shared" si="64"/>
        <v>643110932</v>
      </c>
      <c r="AO106" s="1">
        <f t="shared" si="64"/>
        <v>472001887</v>
      </c>
      <c r="AP106" s="65">
        <f t="shared" ref="AP106:AR106" si="65">SUM(AP56:AP88)+AP100+AP101</f>
        <v>643010932</v>
      </c>
      <c r="AQ106" s="65">
        <f t="shared" si="65"/>
        <v>483592026</v>
      </c>
      <c r="AR106" s="65">
        <f t="shared" si="65"/>
        <v>159418906</v>
      </c>
      <c r="AS106" s="54">
        <f t="shared" si="10"/>
        <v>75.207434575933462</v>
      </c>
      <c r="AT106" s="65">
        <f t="shared" ref="AT106:AU106" si="66">SUM(AT56:AT88)+AT100+AT101</f>
        <v>529877598</v>
      </c>
      <c r="AU106" s="65">
        <f t="shared" si="66"/>
        <v>113133334</v>
      </c>
      <c r="AV106" s="54"/>
      <c r="AW106" s="65">
        <f t="shared" ref="AW106" si="67">SUM(AW56:AW88)+AW100+AW101</f>
        <v>606580608.37</v>
      </c>
      <c r="AX106" s="65">
        <f t="shared" ref="AX106:AY106" si="68">SUM(AX56:AX88)+AX100+AX101</f>
        <v>618956442.49600005</v>
      </c>
      <c r="AY106" s="65">
        <f t="shared" si="68"/>
        <v>608430311.45599997</v>
      </c>
      <c r="AZ106" s="65">
        <f t="shared" ref="AZ106" si="69">SUM(AZ56:AZ88)+AZ100+AZ101</f>
        <v>604910366.41999996</v>
      </c>
      <c r="BA106" s="65">
        <f t="shared" ref="BA106:BC106" si="70">SUM(BA56:BA88)+BA100+BA101</f>
        <v>622480189.0200001</v>
      </c>
      <c r="BB106" s="501">
        <f t="shared" si="70"/>
        <v>624893202</v>
      </c>
      <c r="BC106" s="501">
        <f t="shared" si="70"/>
        <v>771791597</v>
      </c>
      <c r="BD106" s="501">
        <f t="shared" ref="BD106:BF106" si="71">SUM(BD56:BD88)+BD100+BD101</f>
        <v>409175379</v>
      </c>
      <c r="BE106" s="501">
        <f t="shared" si="71"/>
        <v>532243446</v>
      </c>
      <c r="BF106" s="221">
        <f t="shared" si="71"/>
        <v>587382617</v>
      </c>
      <c r="BG106" s="221">
        <f t="shared" ref="BG106:BH106" si="72">SUM(BG56:BG88)+BG100+BG101</f>
        <v>704329140.39999998</v>
      </c>
      <c r="BH106" s="221">
        <f t="shared" si="72"/>
        <v>697382545.51999998</v>
      </c>
      <c r="BI106" s="221">
        <f t="shared" ref="BI106:BO106" si="73">SUM(BI56:BI88)+BI100+BI101</f>
        <v>784761329</v>
      </c>
      <c r="BJ106" s="221">
        <f t="shared" si="73"/>
        <v>332576949</v>
      </c>
      <c r="BK106" s="221">
        <f t="shared" si="73"/>
        <v>554886806</v>
      </c>
      <c r="BL106" s="221">
        <f t="shared" si="73"/>
        <v>698479916.79999995</v>
      </c>
      <c r="BM106" s="221">
        <f t="shared" si="73"/>
        <v>789584915</v>
      </c>
      <c r="BN106" s="65">
        <f t="shared" ref="BN106" si="74">SUM(BN56:BN88)+BN100+BN101</f>
        <v>810428328</v>
      </c>
      <c r="BO106" s="65">
        <f t="shared" si="73"/>
        <v>653690688</v>
      </c>
      <c r="BP106" s="65">
        <f t="shared" ref="BP106:BQ106" si="75">SUM(BP56:BP88)+BP100+BP101</f>
        <v>772574766.71200001</v>
      </c>
      <c r="BQ106" s="65">
        <f t="shared" si="75"/>
        <v>893481190.96320009</v>
      </c>
      <c r="BR106" s="65">
        <f t="shared" ref="BR106:BS106" si="76">SUM(BR56:BR88)+BR100+BR101</f>
        <v>905010988</v>
      </c>
      <c r="BS106" s="65">
        <f t="shared" si="76"/>
        <v>954544035</v>
      </c>
      <c r="BT106" s="65">
        <f t="shared" ref="BT106" si="77">SUM(BT56:BT88)+BT100+BT101</f>
        <v>884184627.25</v>
      </c>
      <c r="BU106" s="65">
        <f t="shared" ref="BU106:BV106" si="78">SUM(BU56:BU88)+BU100+BU101</f>
        <v>1022381182</v>
      </c>
      <c r="BV106" s="65">
        <f t="shared" si="78"/>
        <v>1074694601</v>
      </c>
    </row>
    <row r="107" spans="1:74" x14ac:dyDescent="0.25">
      <c r="A107" s="11"/>
      <c r="B107" s="1" t="s">
        <v>310</v>
      </c>
      <c r="C107" s="1">
        <f>SUM(C89:C98)</f>
        <v>122255000</v>
      </c>
      <c r="D107" s="1">
        <f t="shared" ref="D107:L107" si="79">SUM(D89:D98)</f>
        <v>39184720</v>
      </c>
      <c r="E107" s="1">
        <f t="shared" si="79"/>
        <v>153154611.15000001</v>
      </c>
      <c r="F107" s="1">
        <f t="shared" si="79"/>
        <v>103712986</v>
      </c>
      <c r="G107" s="1">
        <f t="shared" si="79"/>
        <v>155624836</v>
      </c>
      <c r="H107" s="1">
        <f t="shared" si="79"/>
        <v>122302631</v>
      </c>
      <c r="I107" s="1">
        <f t="shared" si="14"/>
        <v>133421052</v>
      </c>
      <c r="J107" s="1">
        <f t="shared" ref="J107" si="80">SUM(J89:J98)</f>
        <v>187067225.62007877</v>
      </c>
      <c r="K107" s="1">
        <v>186217225.62007877</v>
      </c>
      <c r="L107" s="1">
        <f t="shared" si="79"/>
        <v>185108832.26771653</v>
      </c>
      <c r="M107" s="1">
        <f t="shared" si="15"/>
        <v>138.74034831303572</v>
      </c>
      <c r="O107" s="71">
        <f>BÖLCSŐDE!O107+FALUHÁZ!N107+ÓVODA!O107+PMH!O107+ÖNKORMÁNYZAT!O107</f>
        <v>365493241</v>
      </c>
      <c r="P107" s="71">
        <f>BÖLCSŐDE!P107+FALUHÁZ!O107+ÓVODA!P107+PMH!P107+ÖNKORMÁNYZAT!P107</f>
        <v>153097496</v>
      </c>
      <c r="Q107" s="71">
        <f>BÖLCSŐDE!Q107+FALUHÁZ!P107+ÓVODA!Q107+PMH!Q107+ÖNKORMÁNYZAT!Q107</f>
        <v>154649743</v>
      </c>
      <c r="R107" s="71">
        <f>BÖLCSŐDE!R107+FALUHÁZ!Q107+ÓVODA!R107+PMH!R107+ÖNKORMÁNYZAT!R107</f>
        <v>522696042</v>
      </c>
      <c r="S107" s="71">
        <f>BÖLCSŐDE!S107+FALUHÁZ!R107+ÓVODA!S107+PMH!S107+ÖNKORMÁNYZAT!S107</f>
        <v>368318274</v>
      </c>
      <c r="T107" s="71">
        <f>BÖLCSŐDE!T107+FALUHÁZ!S107+ÓVODA!T107+PMH!T107+ÖNKORMÁNYZAT!T107</f>
        <v>209490253</v>
      </c>
      <c r="U107" s="1">
        <f t="shared" ref="U107:W107" si="81">SUM(U89:U98)</f>
        <v>531821212.69999999</v>
      </c>
      <c r="V107" s="1">
        <f t="shared" si="81"/>
        <v>404390716.69999999</v>
      </c>
      <c r="W107" s="1">
        <f t="shared" si="81"/>
        <v>407190716.69999999</v>
      </c>
      <c r="X107" s="125">
        <f t="shared" si="16"/>
        <v>51.803922382177667</v>
      </c>
      <c r="AA107" s="1">
        <f t="shared" ref="AA107:AC107" si="82">SUM(AA89:AA98)</f>
        <v>450333087.69999999</v>
      </c>
      <c r="AB107" s="1">
        <f t="shared" si="82"/>
        <v>113051065</v>
      </c>
      <c r="AC107" s="1">
        <f t="shared" si="82"/>
        <v>113051065</v>
      </c>
      <c r="AD107" s="1">
        <f t="shared" ref="AD107:AF107" si="83">SUM(AD89:AD98)</f>
        <v>236901964</v>
      </c>
      <c r="AE107" s="1" t="e">
        <f t="shared" si="83"/>
        <v>#DIV/0!</v>
      </c>
      <c r="AF107" s="1">
        <f t="shared" si="83"/>
        <v>47.518407339981025</v>
      </c>
      <c r="AG107" s="1">
        <f t="shared" ref="AG107" si="84">SUM(AG89:AG98)</f>
        <v>448095397</v>
      </c>
      <c r="AI107" s="1">
        <f>SUM(AI89:AI98)</f>
        <v>795508930</v>
      </c>
      <c r="AJ107" s="1"/>
      <c r="AK107" s="1">
        <f t="shared" ref="AK107:AO107" si="85">SUM(AK89:AK98)</f>
        <v>646557773.86000001</v>
      </c>
      <c r="AL107" s="1">
        <f t="shared" si="85"/>
        <v>0</v>
      </c>
      <c r="AM107" s="1">
        <f t="shared" si="85"/>
        <v>606967790</v>
      </c>
      <c r="AN107" s="1">
        <f t="shared" si="85"/>
        <v>713564138</v>
      </c>
      <c r="AO107" s="1">
        <f t="shared" si="85"/>
        <v>548514333</v>
      </c>
      <c r="AP107" s="65">
        <f t="shared" ref="AP107:AR107" si="86">SUM(AP89:AP98)</f>
        <v>714101051</v>
      </c>
      <c r="AQ107" s="65">
        <f t="shared" si="86"/>
        <v>548618219</v>
      </c>
      <c r="AR107" s="65">
        <f t="shared" si="86"/>
        <v>165482832</v>
      </c>
      <c r="AS107" s="54">
        <f t="shared" si="10"/>
        <v>76.826412484862743</v>
      </c>
      <c r="AT107" s="65">
        <f t="shared" ref="AT107:AU107" si="87">SUM(AT89:AT98)</f>
        <v>603122411</v>
      </c>
      <c r="AU107" s="65">
        <f t="shared" si="87"/>
        <v>110978640</v>
      </c>
      <c r="AV107" s="54"/>
      <c r="AW107" s="65">
        <f t="shared" ref="AW107" si="88">SUM(AW89:AW98)</f>
        <v>657742774.16999996</v>
      </c>
      <c r="AX107" s="65">
        <f>SUM(AX89:AX98)</f>
        <v>312630395.75999999</v>
      </c>
      <c r="AY107" s="65">
        <f>SUM(AY89:AY98)</f>
        <v>277521692</v>
      </c>
      <c r="AZ107" s="65">
        <f>SUM(AZ89:AZ98)</f>
        <v>277521691.45999998</v>
      </c>
      <c r="BA107" s="65">
        <f t="shared" ref="BA107:BC107" si="89">SUM(BA89:BA98)</f>
        <v>277521691.45999998</v>
      </c>
      <c r="BB107" s="501">
        <f t="shared" ref="BB107" si="90">SUM(BB89:BB98)</f>
        <v>285521691</v>
      </c>
      <c r="BC107" s="501">
        <f t="shared" si="89"/>
        <v>273450875</v>
      </c>
      <c r="BD107" s="501">
        <f t="shared" ref="BD107" si="91">SUM(BD89:BD98)</f>
        <v>133066839</v>
      </c>
      <c r="BE107" s="501">
        <f t="shared" ref="BE107" si="92">SUM(BE89:BE98)</f>
        <v>146873042</v>
      </c>
      <c r="BF107" s="221">
        <f t="shared" ref="BF107:BG107" si="93">SUM(BF89:BF98)</f>
        <v>152701450</v>
      </c>
      <c r="BG107" s="221">
        <f t="shared" si="93"/>
        <v>183241740.00000003</v>
      </c>
      <c r="BH107" s="221">
        <f t="shared" ref="BH107" si="94">SUM(BH89:BH98)</f>
        <v>202977500</v>
      </c>
      <c r="BI107" s="221">
        <f t="shared" ref="BI107:BL107" si="95">SUM(BI89:BI98)</f>
        <v>454494624.98000002</v>
      </c>
      <c r="BJ107" s="221">
        <f t="shared" si="95"/>
        <v>81035099</v>
      </c>
      <c r="BK107" s="221">
        <f t="shared" si="95"/>
        <v>103824766</v>
      </c>
      <c r="BL107" s="221">
        <f t="shared" si="95"/>
        <v>20677440</v>
      </c>
      <c r="BM107" s="221">
        <f t="shared" ref="BM107:BN107" si="96">SUM(BM89:BM98)</f>
        <v>366188019.21000004</v>
      </c>
      <c r="BN107" s="65">
        <f t="shared" si="96"/>
        <v>366188019.21000004</v>
      </c>
      <c r="BO107" s="65">
        <f t="shared" ref="BO107" si="97">SUM(BO89:BO98)</f>
        <v>79193517</v>
      </c>
      <c r="BP107" s="65">
        <f t="shared" ref="BP107:BQ107" si="98">SUM(BP89:BP98)</f>
        <v>94774704</v>
      </c>
      <c r="BQ107" s="65">
        <f t="shared" si="98"/>
        <v>986456219.32000005</v>
      </c>
      <c r="BR107" s="65">
        <f t="shared" ref="BR107:BS107" si="99">SUM(BR89:BR98)</f>
        <v>990607209</v>
      </c>
      <c r="BS107" s="65">
        <f t="shared" si="99"/>
        <v>971985083</v>
      </c>
      <c r="BT107" s="65">
        <f>SUM(BT89:BT98)</f>
        <v>990020082.99999988</v>
      </c>
      <c r="BU107" s="65">
        <f>SUM(BU89:BU98)</f>
        <v>19188690</v>
      </c>
      <c r="BV107" s="65">
        <f>SUM(BV89:BV98)</f>
        <v>51639000</v>
      </c>
    </row>
    <row r="108" spans="1:74" x14ac:dyDescent="0.25">
      <c r="A108" s="11" t="s">
        <v>5</v>
      </c>
      <c r="B108" s="12"/>
      <c r="C108" s="1">
        <f>C103-C104</f>
        <v>-13396056.019999981</v>
      </c>
      <c r="D108" s="1">
        <f t="shared" ref="D108:F108" si="100">D103-D104</f>
        <v>260901294.55999994</v>
      </c>
      <c r="E108" s="1">
        <f t="shared" si="100"/>
        <v>52437757.103333235</v>
      </c>
      <c r="F108" s="1">
        <f t="shared" si="100"/>
        <v>198040120</v>
      </c>
      <c r="G108" s="1">
        <f t="shared" ref="G108:H108" si="101">G103-G104</f>
        <v>1298636.9200000763</v>
      </c>
      <c r="H108" s="1">
        <f t="shared" si="101"/>
        <v>190546101</v>
      </c>
      <c r="I108" s="1">
        <f t="shared" si="14"/>
        <v>207868473.81818181</v>
      </c>
      <c r="J108" s="1">
        <f>J103-J104</f>
        <v>-163338374.76007879</v>
      </c>
      <c r="K108" s="1">
        <v>-131153218.16674542</v>
      </c>
      <c r="L108" s="1" t="e">
        <f t="shared" ref="L108" si="102">L103-L104</f>
        <v>#REF!</v>
      </c>
      <c r="M108" s="1" t="e">
        <f t="shared" si="15"/>
        <v>#REF!</v>
      </c>
      <c r="O108" s="71">
        <f>BÖLCSŐDE!O108+FALUHÁZ!N108+ÓVODA!O108+PMH!O108+ÖNKORMÁNYZAT!O108</f>
        <v>-858764</v>
      </c>
      <c r="P108" s="71">
        <f>BÖLCSŐDE!P108+FALUHÁZ!O108+ÓVODA!P108+PMH!P108+ÖNKORMÁNYZAT!P108</f>
        <v>345092160.80000001</v>
      </c>
      <c r="Q108" s="71">
        <f>BÖLCSŐDE!Q108+FALUHÁZ!P108+ÓVODA!Q108+PMH!Q108+ÖNKORMÁNYZAT!Q108</f>
        <v>353665790.60000002</v>
      </c>
      <c r="R108" s="71">
        <f>BÖLCSŐDE!R108+FALUHÁZ!Q108+ÓVODA!R108+PMH!R108+ÖNKORMÁNYZAT!R108</f>
        <v>-549294698.47109997</v>
      </c>
      <c r="S108" s="71">
        <f>BÖLCSŐDE!S108+FALUHÁZ!R108+ÓVODA!S108+PMH!S108+ÖNKORMÁNYZAT!S108</f>
        <v>128922</v>
      </c>
      <c r="T108" s="71">
        <f>BÖLCSŐDE!T108+FALUHÁZ!S108+ÓVODA!T108+PMH!T108+ÖNKORMÁNYZAT!T108</f>
        <v>315748061.19999999</v>
      </c>
      <c r="U108" s="1">
        <f t="shared" ref="U108:W108" si="103">U103-U104</f>
        <v>-549674119.88000011</v>
      </c>
      <c r="V108" s="1">
        <f t="shared" si="103"/>
        <v>-280071623.88000011</v>
      </c>
      <c r="W108" s="1">
        <f t="shared" si="103"/>
        <v>-301157023.88000011</v>
      </c>
      <c r="X108" s="125">
        <f t="shared" si="16"/>
        <v>-112.73832629873488</v>
      </c>
      <c r="AA108" s="1">
        <f t="shared" ref="AA108:AC108" si="104">AA103-AA104</f>
        <v>6412999.5499997139</v>
      </c>
      <c r="AB108" s="1">
        <f t="shared" si="104"/>
        <v>245889438</v>
      </c>
      <c r="AC108" s="1">
        <f t="shared" si="104"/>
        <v>238240518</v>
      </c>
      <c r="AD108" s="1">
        <f t="shared" ref="AD108:AE108" si="105">AD103-AD104</f>
        <v>-61920897</v>
      </c>
      <c r="AE108" s="1" t="e">
        <f t="shared" si="105"/>
        <v>#DIV/0!</v>
      </c>
      <c r="AF108" s="1">
        <f>AF103-AF104</f>
        <v>3497580</v>
      </c>
      <c r="AG108" s="1">
        <f>AG103-AG104</f>
        <v>-123696919</v>
      </c>
      <c r="AI108" s="1">
        <f>AI103-AI104</f>
        <v>-279148571.21440029</v>
      </c>
      <c r="AJ108" s="1"/>
      <c r="AK108" s="1">
        <f t="shared" ref="AK108:AR108" si="106">AK103-AK104</f>
        <v>53694529.762599945</v>
      </c>
      <c r="AL108" s="1">
        <f t="shared" si="106"/>
        <v>198275213.80000001</v>
      </c>
      <c r="AM108" s="1">
        <f t="shared" si="106"/>
        <v>144277202</v>
      </c>
      <c r="AN108" s="1">
        <f t="shared" si="106"/>
        <v>-5462707</v>
      </c>
      <c r="AO108" s="1">
        <f t="shared" si="106"/>
        <v>93976994</v>
      </c>
      <c r="AP108" s="65" t="e">
        <f t="shared" si="106"/>
        <v>#REF!</v>
      </c>
      <c r="AQ108" s="65" t="e">
        <f t="shared" si="106"/>
        <v>#REF!</v>
      </c>
      <c r="AR108" s="65" t="e">
        <f t="shared" si="106"/>
        <v>#REF!</v>
      </c>
      <c r="AS108" s="54"/>
      <c r="AT108" s="65" t="e">
        <f t="shared" ref="AT108:AU108" si="107">AT103-AT104</f>
        <v>#REF!</v>
      </c>
      <c r="AU108" s="65" t="e">
        <f t="shared" si="107"/>
        <v>#REF!</v>
      </c>
      <c r="AV108" s="54"/>
      <c r="AW108" s="65" t="e">
        <f t="shared" ref="AW108" si="108">AW103-AW104</f>
        <v>#REF!</v>
      </c>
      <c r="AX108" s="65" t="e">
        <f>AX103-AX104</f>
        <v>#REF!</v>
      </c>
      <c r="AY108" s="65" t="e">
        <f>AY103-AY104</f>
        <v>#REF!</v>
      </c>
      <c r="AZ108" s="65" t="e">
        <f>AZ103-AZ104</f>
        <v>#REF!</v>
      </c>
      <c r="BA108" s="65" t="e">
        <f t="shared" ref="BA108:BC108" si="109">BA103-BA104</f>
        <v>#REF!</v>
      </c>
      <c r="BB108" s="501">
        <f t="shared" si="109"/>
        <v>2141796</v>
      </c>
      <c r="BC108" s="501">
        <f t="shared" si="109"/>
        <v>4108106</v>
      </c>
      <c r="BD108" s="501">
        <f t="shared" ref="BD108:BF108" si="110">BD103-BD104</f>
        <v>107198204</v>
      </c>
      <c r="BE108" s="501">
        <f t="shared" si="110"/>
        <v>95323072</v>
      </c>
      <c r="BF108" s="221">
        <f t="shared" si="110"/>
        <v>84307647</v>
      </c>
      <c r="BG108" s="221">
        <f t="shared" ref="BG108:BH108" si="111">BG103-BG104</f>
        <v>133917499.16363621</v>
      </c>
      <c r="BH108" s="221">
        <f t="shared" si="111"/>
        <v>2473845.5599999428</v>
      </c>
      <c r="BI108" s="221">
        <f t="shared" ref="BI108:BL108" si="112">BI103-BI104</f>
        <v>3159839.0199999809</v>
      </c>
      <c r="BJ108" s="221">
        <f t="shared" si="112"/>
        <v>34641714</v>
      </c>
      <c r="BK108" s="221">
        <f t="shared" si="112"/>
        <v>373214709</v>
      </c>
      <c r="BL108" s="221">
        <f t="shared" si="112"/>
        <v>-98987726.399999619</v>
      </c>
      <c r="BM108" s="221">
        <f t="shared" ref="BM108:BO108" si="113">BM103-BM104</f>
        <v>20843412.909600019</v>
      </c>
      <c r="BN108" s="65">
        <f t="shared" ref="BN108" si="114">BN103-BN104</f>
        <v>-2824999.3900001049</v>
      </c>
      <c r="BO108" s="65">
        <f t="shared" si="113"/>
        <v>976403202</v>
      </c>
      <c r="BP108" s="65">
        <f t="shared" ref="BP108:BQ108" si="115">BP103-BP104</f>
        <v>874199220.08799982</v>
      </c>
      <c r="BQ108" s="65">
        <f t="shared" si="115"/>
        <v>-148039364.47319984</v>
      </c>
      <c r="BR108" s="65">
        <f t="shared" ref="BR108:BS108" si="116">BR103-BR104</f>
        <v>-148100422.92000008</v>
      </c>
      <c r="BS108" s="65">
        <f t="shared" si="116"/>
        <v>-205023528.96000004</v>
      </c>
      <c r="BT108" s="65">
        <f>BT103-BT104</f>
        <v>16695245.789999962</v>
      </c>
      <c r="BU108" s="65">
        <f>BU103-BU104</f>
        <v>177586483</v>
      </c>
      <c r="BV108" s="66">
        <f>BV103-BV104</f>
        <v>-177514781</v>
      </c>
    </row>
    <row r="109" spans="1:74" x14ac:dyDescent="0.25">
      <c r="A109" s="11"/>
      <c r="B109" s="12"/>
      <c r="J109" s="1">
        <v>168158610</v>
      </c>
      <c r="K109" s="1">
        <v>168158610</v>
      </c>
      <c r="L109" s="14">
        <f>168158610</f>
        <v>168158610</v>
      </c>
      <c r="M109" s="1" t="s">
        <v>289</v>
      </c>
      <c r="O109" s="71">
        <f>BÖLCSŐDE!O109+FALUHÁZ!N109+ÓVODA!O109+PMH!O109+ÖNKORMÁNYZAT!O109</f>
        <v>0</v>
      </c>
      <c r="P109" s="71">
        <f>BÖLCSŐDE!P109+FALUHÁZ!O109+ÓVODA!P109+PMH!P109+ÖNKORMÁNYZAT!P109</f>
        <v>0</v>
      </c>
      <c r="Q109" s="71">
        <f>BÖLCSŐDE!Q109+FALUHÁZ!P109+ÓVODA!Q109+PMH!Q109+ÖNKORMÁNYZAT!Q109</f>
        <v>-14997277</v>
      </c>
      <c r="R109" s="71">
        <f>BÖLCSŐDE!R109+FALUHÁZ!Q109+ÓVODA!R109+PMH!R109+ÖNKORMÁNYZAT!R109</f>
        <v>0</v>
      </c>
      <c r="S109" s="71">
        <f>BÖLCSŐDE!S109+FALUHÁZ!R109+ÓVODA!S109+PMH!S109+ÖNKORMÁNYZAT!S109</f>
        <v>0</v>
      </c>
      <c r="T109" s="71">
        <f>BÖLCSŐDE!T109+FALUHÁZ!S109+ÓVODA!T109+PMH!T109+ÖNKORMÁNYZAT!T109</f>
        <v>0</v>
      </c>
      <c r="U109" s="71">
        <f>BÖLCSŐDE!U109+FALUHÁZ!T109+ÓVODA!U109+PMH!U109+ÖNKORMÁNYZAT!U109</f>
        <v>0</v>
      </c>
      <c r="V109" s="71">
        <f>BÖLCSŐDE!V109+FALUHÁZ!U109+ÓVODA!V109+PMH!V109+ÖNKORMÁNYZAT!V109</f>
        <v>0</v>
      </c>
      <c r="W109" s="71">
        <f>BÖLCSŐDE!W109+FALUHÁZ!V109+ÓVODA!W109+PMH!W109+ÖNKORMÁNYZAT!W109</f>
        <v>0</v>
      </c>
      <c r="X109" s="125"/>
      <c r="AA109" s="71">
        <f>BÖLCSŐDE!AA109+FALUHÁZ!Z109+ÓVODA!Z109+PMH!AA109+ÖNKORMÁNYZAT!AA109</f>
        <v>0</v>
      </c>
      <c r="AB109" s="71">
        <f>BÖLCSŐDE!AB109+FALUHÁZ!AA109+ÓVODA!AA109+PMH!AB109+ÖNKORMÁNYZAT!AB109</f>
        <v>0</v>
      </c>
      <c r="AC109" s="71">
        <f>BÖLCSŐDE!AC109+FALUHÁZ!AB109+ÓVODA!AB109+PMH!AC109+ÖNKORMÁNYZAT!AC109</f>
        <v>0</v>
      </c>
      <c r="AD109" s="71">
        <f>BÖLCSŐDE!AE109+FALUHÁZ!AD109+ÓVODA!AC109+PMH!AE109+ÖNKORMÁNYZAT!AE109</f>
        <v>0</v>
      </c>
      <c r="AE109" s="71">
        <f>BÖLCSŐDE!AG109+FALUHÁZ!AG109+ÓVODA!AE109+PMH!AG109+ÖNKORMÁNYZAT!AG109</f>
        <v>0</v>
      </c>
      <c r="AF109" s="71">
        <f>BÖLCSŐDE!AI109+FALUHÁZ!AH109+ÓVODA!AF109+PMH!AH109+ÖNKORMÁNYZAT!AH109</f>
        <v>0</v>
      </c>
      <c r="AG109" s="71">
        <f>BÖLCSŐDE!AJ109+FALUHÁZ!AI109+ÓVODA!AG109+PMH!AI109+ÖNKORMÁNYZAT!AI109</f>
        <v>0</v>
      </c>
      <c r="AH109" s="71"/>
      <c r="AI109" s="71">
        <f>BÖLCSŐDE!AJ109+FALUHÁZ!AI109+ÓVODA!AG109+PMH!AI109+ÖNKORMÁNYZAT!AI109</f>
        <v>0</v>
      </c>
      <c r="AJ109" s="71"/>
      <c r="AK109" s="71">
        <f>BÖLCSŐDE!AL109+FALUHÁZ!AK109+ÓVODA!AI109+PMH!AK109+ÖNKORMÁNYZAT!AK109</f>
        <v>0</v>
      </c>
      <c r="BB109" s="14"/>
      <c r="BC109"/>
      <c r="BD109"/>
      <c r="BE109" s="14"/>
      <c r="BF109" s="14"/>
      <c r="BU109" s="211"/>
    </row>
    <row r="110" spans="1:74" x14ac:dyDescent="0.25">
      <c r="J110" s="1">
        <v>4820235.2399212122</v>
      </c>
      <c r="K110" s="1">
        <v>37005391.833254576</v>
      </c>
      <c r="L110" s="126" t="e">
        <f>L108+L109</f>
        <v>#REF!</v>
      </c>
      <c r="O110" s="71">
        <f>BÖLCSŐDE!O110+FALUHÁZ!N110+ÓVODA!O110+PMH!O110+ÖNKORMÁNYZAT!O110</f>
        <v>0</v>
      </c>
      <c r="P110" s="71">
        <f>BÖLCSŐDE!P110+FALUHÁZ!O110+ÓVODA!P110+PMH!P110+ÖNKORMÁNYZAT!P110</f>
        <v>0</v>
      </c>
      <c r="Q110" s="71">
        <f>BÖLCSŐDE!Q110+FALUHÁZ!P110+ÓVODA!Q110+PMH!Q110+ÖNKORMÁNYZAT!Q110</f>
        <v>0</v>
      </c>
      <c r="R110" s="71">
        <f>BÖLCSŐDE!R110+FALUHÁZ!Q110+ÓVODA!R110+PMH!R110+ÖNKORMÁNYZAT!R110</f>
        <v>0</v>
      </c>
      <c r="S110" s="71"/>
      <c r="T110" t="s">
        <v>391</v>
      </c>
      <c r="U110" s="1">
        <v>305479945</v>
      </c>
      <c r="V110" s="1">
        <v>305479946</v>
      </c>
      <c r="W110" s="1">
        <v>305479947</v>
      </c>
      <c r="X110" s="125"/>
      <c r="AA110" s="1">
        <v>305479947</v>
      </c>
      <c r="AB110" s="1">
        <v>305479948</v>
      </c>
      <c r="AC110" s="1">
        <v>305479949</v>
      </c>
      <c r="AD110" s="1">
        <v>305479950</v>
      </c>
      <c r="AE110" s="1">
        <v>305479951</v>
      </c>
      <c r="AF110" s="120"/>
      <c r="AG110" s="120"/>
      <c r="BB110" s="14"/>
      <c r="BC110"/>
      <c r="BD110"/>
      <c r="BE110" s="14"/>
      <c r="BF110" s="14"/>
      <c r="BU110" s="211"/>
    </row>
    <row r="111" spans="1:74" x14ac:dyDescent="0.25">
      <c r="R111" s="1">
        <f>251545+4394926+267235+320659767+22937+140665+1404291+407205+2562247+233945+3980171</f>
        <v>334324934</v>
      </c>
      <c r="U111" s="1">
        <f>SUM(U108:U110)</f>
        <v>-244194174.88000011</v>
      </c>
      <c r="V111" s="1">
        <f t="shared" ref="V111:W111" si="117">SUM(V108:V110)</f>
        <v>25408322.119999886</v>
      </c>
      <c r="W111" s="1">
        <f t="shared" si="117"/>
        <v>4322923.1199998856</v>
      </c>
      <c r="X111" s="125"/>
      <c r="AA111" s="1">
        <f t="shared" ref="AA111:AC111" si="118">SUM(AA108:AA110)</f>
        <v>311892946.54999971</v>
      </c>
      <c r="AB111" s="1">
        <f t="shared" si="118"/>
        <v>551369386</v>
      </c>
      <c r="AC111" s="1">
        <f t="shared" si="118"/>
        <v>543720467</v>
      </c>
      <c r="AD111" s="1">
        <f t="shared" ref="AD111:AI111" si="119">SUM(AD108:AD110)</f>
        <v>243559053</v>
      </c>
      <c r="AE111" s="1" t="e">
        <f t="shared" si="119"/>
        <v>#DIV/0!</v>
      </c>
      <c r="AF111" s="1">
        <f t="shared" si="119"/>
        <v>3497580</v>
      </c>
      <c r="AG111" s="1">
        <f t="shared" ref="AG111" si="120">SUM(AG108:AG110)</f>
        <v>-123696919</v>
      </c>
      <c r="AI111" s="1">
        <f t="shared" si="119"/>
        <v>-279148571.21440029</v>
      </c>
      <c r="AJ111" s="1"/>
      <c r="AK111" s="1">
        <f t="shared" ref="AK111:AO111" si="121">SUM(AK108:AK110)</f>
        <v>53694529.762599945</v>
      </c>
      <c r="AL111" s="1">
        <f t="shared" si="121"/>
        <v>198275213.80000001</v>
      </c>
      <c r="AM111" s="1">
        <f t="shared" si="121"/>
        <v>144277202</v>
      </c>
      <c r="AN111" s="1">
        <f t="shared" si="121"/>
        <v>-5462707</v>
      </c>
      <c r="AO111" s="1">
        <f t="shared" si="121"/>
        <v>93976994</v>
      </c>
      <c r="AP111" s="1"/>
      <c r="AQ111" s="1"/>
      <c r="AT111" s="1"/>
      <c r="AW111" s="1"/>
      <c r="AX111" s="1"/>
      <c r="BB111" s="14"/>
      <c r="BC111"/>
      <c r="BD111"/>
      <c r="BE111" s="14"/>
      <c r="BF111" s="14"/>
      <c r="BU111" s="211"/>
    </row>
    <row r="112" spans="1:74" x14ac:dyDescent="0.25">
      <c r="X112" s="125"/>
      <c r="AI112" s="52"/>
      <c r="AJ112" s="52"/>
      <c r="BB112" s="14"/>
      <c r="BC112"/>
      <c r="BD112"/>
      <c r="BE112" s="14"/>
      <c r="BF112" s="14"/>
    </row>
    <row r="113" spans="18:58" x14ac:dyDescent="0.25">
      <c r="BB113" s="14"/>
      <c r="BC113"/>
      <c r="BD113"/>
      <c r="BE113" s="14"/>
      <c r="BF113" s="14"/>
    </row>
    <row r="114" spans="18:58" x14ac:dyDescent="0.25">
      <c r="AD114" s="52"/>
      <c r="AE114" s="52"/>
      <c r="BB114" s="14"/>
      <c r="BC114"/>
      <c r="BD114"/>
      <c r="BE114" s="14"/>
      <c r="BF114" s="14"/>
    </row>
    <row r="115" spans="18:58" x14ac:dyDescent="0.25">
      <c r="R115" s="1" t="s">
        <v>392</v>
      </c>
      <c r="S115" s="1">
        <f>U10+U27+U28+U32+U33+U35</f>
        <v>22340000</v>
      </c>
      <c r="U115" s="1">
        <f>SUM(U2:U9)+SUM(U12:U26)+SUM(U29:U31)</f>
        <v>472413968</v>
      </c>
      <c r="AK115" t="s">
        <v>542</v>
      </c>
      <c r="AL115" s="52">
        <v>490350339.39199996</v>
      </c>
      <c r="AM115" s="52"/>
      <c r="BB115" s="14"/>
      <c r="BC115"/>
      <c r="BD115"/>
      <c r="BE115" s="14"/>
      <c r="BF115" s="14"/>
    </row>
    <row r="116" spans="18:58" x14ac:dyDescent="0.25">
      <c r="R116" s="1" t="s">
        <v>393</v>
      </c>
      <c r="S116" s="1">
        <f>U90</f>
        <v>531821212.69999999</v>
      </c>
      <c r="U116" s="1">
        <f>SUM(U39:U89)</f>
        <v>505169146.18000001</v>
      </c>
      <c r="AK116" t="s">
        <v>543</v>
      </c>
      <c r="AL116" s="52">
        <v>573859294.51999998</v>
      </c>
      <c r="AM116" s="52"/>
      <c r="BB116" s="14"/>
      <c r="BC116"/>
      <c r="BD116"/>
      <c r="BE116" s="14"/>
      <c r="BF116" s="14"/>
    </row>
    <row r="117" spans="18:58" x14ac:dyDescent="0.25">
      <c r="R117" s="1" t="s">
        <v>394</v>
      </c>
      <c r="S117" s="1">
        <f>S116-S115</f>
        <v>509481212.69999999</v>
      </c>
      <c r="U117" s="1">
        <f>U115-U116</f>
        <v>-32755178.180000007</v>
      </c>
      <c r="BB117" s="14"/>
      <c r="BC117"/>
      <c r="BD117"/>
      <c r="BE117" s="14"/>
      <c r="BF117" s="14"/>
    </row>
    <row r="118" spans="18:58" x14ac:dyDescent="0.25">
      <c r="BB118" s="14"/>
      <c r="BC118"/>
      <c r="BD118"/>
      <c r="BE118" s="14"/>
      <c r="BF118" s="14"/>
    </row>
    <row r="119" spans="18:58" x14ac:dyDescent="0.25">
      <c r="BB119" s="14"/>
      <c r="BC119"/>
      <c r="BD119"/>
      <c r="BE119" s="14"/>
      <c r="BF119" s="14"/>
    </row>
    <row r="120" spans="18:58" x14ac:dyDescent="0.25">
      <c r="BB120" s="14"/>
      <c r="BC120"/>
      <c r="BD120"/>
      <c r="BE120" s="14"/>
      <c r="BF120" s="14"/>
    </row>
    <row r="121" spans="18:58" x14ac:dyDescent="0.25">
      <c r="BB121" s="14"/>
      <c r="BC121"/>
      <c r="BD121"/>
      <c r="BE121" s="14"/>
      <c r="BF121" s="14"/>
    </row>
    <row r="122" spans="18:58" x14ac:dyDescent="0.25">
      <c r="BB122" s="14"/>
      <c r="BC122"/>
      <c r="BD122"/>
      <c r="BE122" s="14"/>
      <c r="BF122" s="14"/>
    </row>
    <row r="123" spans="18:58" x14ac:dyDescent="0.25">
      <c r="BB123" s="14"/>
      <c r="BC123"/>
      <c r="BD123"/>
      <c r="BE123" s="14"/>
      <c r="BF123" s="14"/>
    </row>
    <row r="124" spans="18:58" x14ac:dyDescent="0.25">
      <c r="BB124" s="14"/>
      <c r="BC124"/>
      <c r="BD124"/>
      <c r="BE124" s="14"/>
      <c r="BF124" s="14"/>
    </row>
    <row r="125" spans="18:58" x14ac:dyDescent="0.25">
      <c r="BB125" s="14"/>
      <c r="BC125"/>
      <c r="BD125"/>
      <c r="BE125" s="14"/>
      <c r="BF125" s="14"/>
    </row>
    <row r="126" spans="18:58" x14ac:dyDescent="0.25">
      <c r="BB126" s="14"/>
      <c r="BC126"/>
      <c r="BD126"/>
      <c r="BE126" s="14"/>
      <c r="BF126" s="14"/>
    </row>
    <row r="127" spans="18:58" x14ac:dyDescent="0.25">
      <c r="BB127" s="14"/>
      <c r="BC127"/>
      <c r="BD127"/>
      <c r="BE127" s="14"/>
      <c r="BF127" s="14"/>
    </row>
    <row r="128" spans="18:58" x14ac:dyDescent="0.25">
      <c r="BB128" s="14"/>
      <c r="BC128"/>
      <c r="BD128"/>
      <c r="BE128" s="14"/>
      <c r="BF128" s="14"/>
    </row>
    <row r="129" spans="54:58" x14ac:dyDescent="0.25">
      <c r="BB129" s="14"/>
      <c r="BC129"/>
      <c r="BD129"/>
      <c r="BE129" s="14"/>
      <c r="BF129" s="14"/>
    </row>
    <row r="130" spans="54:58" x14ac:dyDescent="0.25">
      <c r="BB130" s="14"/>
      <c r="BC130"/>
      <c r="BD130"/>
      <c r="BE130" s="14"/>
      <c r="BF130" s="14"/>
    </row>
    <row r="131" spans="54:58" x14ac:dyDescent="0.25">
      <c r="BB131" s="14"/>
      <c r="BC131"/>
      <c r="BD131"/>
      <c r="BE131" s="14"/>
      <c r="BF131" s="14"/>
    </row>
    <row r="132" spans="54:58" x14ac:dyDescent="0.25">
      <c r="BB132" s="14"/>
      <c r="BC132"/>
      <c r="BD132"/>
      <c r="BE132" s="14"/>
      <c r="BF132" s="14"/>
    </row>
    <row r="133" spans="54:58" x14ac:dyDescent="0.25">
      <c r="BB133" s="14"/>
      <c r="BC133"/>
      <c r="BD133"/>
      <c r="BE133" s="14"/>
      <c r="BF133" s="14"/>
    </row>
    <row r="134" spans="54:58" x14ac:dyDescent="0.25">
      <c r="BB134" s="14"/>
      <c r="BC134"/>
      <c r="BD134"/>
      <c r="BE134" s="14"/>
      <c r="BF134" s="14"/>
    </row>
    <row r="135" spans="54:58" x14ac:dyDescent="0.25">
      <c r="BB135" s="14"/>
      <c r="BC135"/>
      <c r="BD135"/>
      <c r="BE135" s="14"/>
      <c r="BF135" s="14"/>
    </row>
    <row r="136" spans="54:58" x14ac:dyDescent="0.25">
      <c r="BB136" s="14"/>
      <c r="BC136"/>
      <c r="BD136"/>
      <c r="BE136" s="14"/>
      <c r="BF136" s="14"/>
    </row>
    <row r="137" spans="54:58" x14ac:dyDescent="0.25">
      <c r="BB137" s="14"/>
      <c r="BC137"/>
      <c r="BD137"/>
      <c r="BE137" s="14"/>
      <c r="BF137" s="14"/>
    </row>
    <row r="138" spans="54:58" x14ac:dyDescent="0.25">
      <c r="BB138" s="14"/>
      <c r="BC138"/>
      <c r="BD138"/>
      <c r="BE138" s="14"/>
      <c r="BF138" s="14"/>
    </row>
    <row r="139" spans="54:58" x14ac:dyDescent="0.25">
      <c r="BB139" s="14"/>
      <c r="BC139"/>
      <c r="BD139"/>
      <c r="BE139" s="14"/>
      <c r="BF139" s="14"/>
    </row>
    <row r="140" spans="54:58" x14ac:dyDescent="0.25">
      <c r="BB140" s="14"/>
      <c r="BC140"/>
      <c r="BD140"/>
      <c r="BE140" s="14"/>
      <c r="BF140" s="14"/>
    </row>
    <row r="141" spans="54:58" x14ac:dyDescent="0.25">
      <c r="BB141" s="14"/>
      <c r="BC141"/>
      <c r="BD141"/>
      <c r="BE141" s="14"/>
      <c r="BF141" s="14"/>
    </row>
    <row r="142" spans="54:58" x14ac:dyDescent="0.25">
      <c r="BB142" s="14"/>
      <c r="BC142"/>
      <c r="BD142"/>
      <c r="BE142" s="14"/>
      <c r="BF142" s="14"/>
    </row>
    <row r="143" spans="54:58" x14ac:dyDescent="0.25">
      <c r="BB143" s="14"/>
      <c r="BC143"/>
      <c r="BD143"/>
      <c r="BE143" s="14"/>
      <c r="BF143" s="14"/>
    </row>
    <row r="144" spans="54:58" x14ac:dyDescent="0.25">
      <c r="BB144" s="14"/>
      <c r="BC144"/>
      <c r="BD144"/>
      <c r="BE144" s="14"/>
      <c r="BF144" s="14"/>
    </row>
    <row r="145" spans="54:58" x14ac:dyDescent="0.25">
      <c r="BB145" s="14"/>
      <c r="BC145"/>
      <c r="BD145"/>
      <c r="BE145" s="14"/>
      <c r="BF145" s="14"/>
    </row>
    <row r="146" spans="54:58" x14ac:dyDescent="0.25">
      <c r="BB146" s="14"/>
      <c r="BC146"/>
      <c r="BD146"/>
      <c r="BE146" s="14"/>
      <c r="BF146" s="14"/>
    </row>
    <row r="147" spans="54:58" x14ac:dyDescent="0.25">
      <c r="BB147" s="14"/>
      <c r="BC147"/>
      <c r="BD147"/>
      <c r="BE147" s="14"/>
      <c r="BF147" s="14"/>
    </row>
    <row r="148" spans="54:58" x14ac:dyDescent="0.25">
      <c r="BB148" s="14"/>
      <c r="BC148"/>
      <c r="BD148"/>
      <c r="BE148" s="14"/>
      <c r="BF148" s="14"/>
    </row>
    <row r="149" spans="54:58" x14ac:dyDescent="0.25">
      <c r="BB149" s="14"/>
      <c r="BC149"/>
      <c r="BD149"/>
      <c r="BE149" s="14"/>
      <c r="BF149" s="14"/>
    </row>
    <row r="150" spans="54:58" x14ac:dyDescent="0.25">
      <c r="BB150" s="14"/>
      <c r="BC150"/>
      <c r="BD150"/>
      <c r="BE150" s="14"/>
      <c r="BF150" s="14"/>
    </row>
    <row r="151" spans="54:58" x14ac:dyDescent="0.25">
      <c r="BB151" s="14"/>
      <c r="BC151"/>
      <c r="BD151"/>
      <c r="BE151" s="14"/>
      <c r="BF151" s="14"/>
    </row>
    <row r="152" spans="54:58" x14ac:dyDescent="0.25">
      <c r="BB152" s="14"/>
      <c r="BC152"/>
      <c r="BD152"/>
      <c r="BE152" s="14"/>
      <c r="BF152" s="14"/>
    </row>
    <row r="153" spans="54:58" x14ac:dyDescent="0.25">
      <c r="BB153" s="14"/>
      <c r="BC153"/>
      <c r="BD153"/>
      <c r="BE153" s="14"/>
      <c r="BF153" s="14"/>
    </row>
    <row r="154" spans="54:58" x14ac:dyDescent="0.25">
      <c r="BB154" s="14"/>
      <c r="BC154"/>
      <c r="BD154"/>
      <c r="BE154" s="14"/>
      <c r="BF154" s="14"/>
    </row>
    <row r="155" spans="54:58" x14ac:dyDescent="0.25">
      <c r="BB155" s="14"/>
      <c r="BC155"/>
      <c r="BD155"/>
      <c r="BE155" s="14"/>
      <c r="BF155" s="14"/>
    </row>
    <row r="156" spans="54:58" x14ac:dyDescent="0.25">
      <c r="BB156" s="14"/>
      <c r="BC156"/>
      <c r="BD156"/>
      <c r="BE156" s="14"/>
      <c r="BF156" s="14"/>
    </row>
    <row r="157" spans="54:58" x14ac:dyDescent="0.25">
      <c r="BB157" s="14"/>
      <c r="BC157"/>
      <c r="BD157"/>
      <c r="BE157" s="14"/>
      <c r="BF157" s="14"/>
    </row>
    <row r="158" spans="54:58" x14ac:dyDescent="0.25">
      <c r="BB158" s="14"/>
      <c r="BC158"/>
      <c r="BD158"/>
      <c r="BE158" s="14"/>
      <c r="BF158" s="14"/>
    </row>
    <row r="159" spans="54:58" x14ac:dyDescent="0.25">
      <c r="BB159" s="14"/>
      <c r="BC159"/>
      <c r="BD159"/>
      <c r="BE159" s="14"/>
      <c r="BF159" s="14"/>
    </row>
    <row r="160" spans="54:58" x14ac:dyDescent="0.25">
      <c r="BB160" s="14"/>
      <c r="BC160"/>
      <c r="BD160"/>
      <c r="BE160" s="14"/>
      <c r="BF160" s="14"/>
    </row>
    <row r="161" spans="54:58" x14ac:dyDescent="0.25">
      <c r="BB161" s="14"/>
      <c r="BC161"/>
      <c r="BD161"/>
      <c r="BE161" s="14"/>
      <c r="BF161" s="14"/>
    </row>
    <row r="162" spans="54:58" x14ac:dyDescent="0.25">
      <c r="BB162" s="14"/>
      <c r="BC162"/>
      <c r="BD162"/>
      <c r="BE162" s="14"/>
      <c r="BF162" s="14"/>
    </row>
    <row r="163" spans="54:58" x14ac:dyDescent="0.25">
      <c r="BB163" s="14"/>
      <c r="BC163"/>
      <c r="BD163"/>
      <c r="BE163" s="14"/>
      <c r="BF163" s="14"/>
    </row>
    <row r="164" spans="54:58" x14ac:dyDescent="0.25">
      <c r="BB164" s="14"/>
      <c r="BC164"/>
      <c r="BD164"/>
      <c r="BE164" s="14"/>
      <c r="BF164" s="14"/>
    </row>
    <row r="165" spans="54:58" x14ac:dyDescent="0.25">
      <c r="BB165" s="14"/>
      <c r="BC165"/>
      <c r="BD165"/>
      <c r="BE165" s="14"/>
      <c r="BF165" s="14"/>
    </row>
    <row r="166" spans="54:58" x14ac:dyDescent="0.25">
      <c r="BB166" s="14"/>
      <c r="BC166"/>
      <c r="BD166"/>
      <c r="BE166" s="14"/>
      <c r="BF166" s="14"/>
    </row>
    <row r="167" spans="54:58" x14ac:dyDescent="0.25">
      <c r="BB167" s="14"/>
      <c r="BC167"/>
      <c r="BD167"/>
      <c r="BE167" s="14"/>
      <c r="BF167" s="14"/>
    </row>
    <row r="168" spans="54:58" x14ac:dyDescent="0.25">
      <c r="BB168" s="14"/>
      <c r="BC168"/>
      <c r="BD168"/>
      <c r="BE168" s="14"/>
      <c r="BF168" s="14"/>
    </row>
    <row r="169" spans="54:58" x14ac:dyDescent="0.25">
      <c r="BB169" s="14"/>
      <c r="BC169"/>
      <c r="BD169"/>
      <c r="BE169" s="14"/>
      <c r="BF169" s="14"/>
    </row>
    <row r="170" spans="54:58" x14ac:dyDescent="0.25">
      <c r="BB170" s="14"/>
      <c r="BC170"/>
      <c r="BD170"/>
      <c r="BE170" s="14"/>
      <c r="BF170" s="14"/>
    </row>
    <row r="171" spans="54:58" x14ac:dyDescent="0.25">
      <c r="BB171" s="14"/>
      <c r="BC171"/>
      <c r="BD171"/>
      <c r="BE171" s="14"/>
      <c r="BF171" s="14"/>
    </row>
    <row r="172" spans="54:58" x14ac:dyDescent="0.25">
      <c r="BB172" s="14"/>
      <c r="BC172"/>
      <c r="BD172"/>
      <c r="BE172" s="14"/>
      <c r="BF172" s="14"/>
    </row>
    <row r="173" spans="54:58" x14ac:dyDescent="0.25">
      <c r="BB173" s="14"/>
      <c r="BC173"/>
      <c r="BD173"/>
      <c r="BE173" s="14"/>
      <c r="BF173" s="14"/>
    </row>
    <row r="174" spans="54:58" x14ac:dyDescent="0.25">
      <c r="BB174" s="14"/>
      <c r="BC174"/>
      <c r="BD174"/>
      <c r="BE174" s="14"/>
      <c r="BF174" s="14"/>
    </row>
    <row r="175" spans="54:58" x14ac:dyDescent="0.25">
      <c r="BB175" s="14"/>
      <c r="BC175"/>
      <c r="BD175"/>
      <c r="BE175" s="14"/>
      <c r="BF175" s="14"/>
    </row>
    <row r="176" spans="54:58" x14ac:dyDescent="0.25">
      <c r="BB176" s="14"/>
      <c r="BC176"/>
      <c r="BD176"/>
      <c r="BE176" s="14"/>
      <c r="BF176" s="14"/>
    </row>
    <row r="177" spans="54:58" x14ac:dyDescent="0.25">
      <c r="BB177" s="14"/>
      <c r="BC177"/>
      <c r="BD177"/>
      <c r="BE177" s="14"/>
      <c r="BF177" s="14"/>
    </row>
    <row r="178" spans="54:58" x14ac:dyDescent="0.25">
      <c r="BB178" s="14"/>
      <c r="BC178"/>
      <c r="BD178"/>
      <c r="BE178" s="14"/>
      <c r="BF178" s="14"/>
    </row>
    <row r="179" spans="54:58" x14ac:dyDescent="0.25">
      <c r="BB179" s="14"/>
      <c r="BC179"/>
      <c r="BD179"/>
      <c r="BE179" s="14"/>
      <c r="BF179" s="14"/>
    </row>
    <row r="180" spans="54:58" x14ac:dyDescent="0.25">
      <c r="BB180" s="14"/>
      <c r="BC180"/>
      <c r="BD180"/>
      <c r="BE180" s="14"/>
      <c r="BF180" s="14"/>
    </row>
    <row r="181" spans="54:58" x14ac:dyDescent="0.25">
      <c r="BB181" s="14"/>
      <c r="BC181"/>
      <c r="BD181"/>
      <c r="BE181" s="14"/>
      <c r="BF181" s="14"/>
    </row>
    <row r="182" spans="54:58" x14ac:dyDescent="0.25">
      <c r="BB182" s="14"/>
      <c r="BC182"/>
      <c r="BD182"/>
      <c r="BE182" s="14"/>
      <c r="BF182" s="14"/>
    </row>
    <row r="183" spans="54:58" x14ac:dyDescent="0.25">
      <c r="BB183" s="14"/>
      <c r="BC183"/>
      <c r="BD183"/>
      <c r="BE183" s="14"/>
      <c r="BF183" s="14"/>
    </row>
    <row r="184" spans="54:58" x14ac:dyDescent="0.25">
      <c r="BB184" s="14"/>
      <c r="BC184"/>
      <c r="BD184"/>
      <c r="BE184" s="14"/>
      <c r="BF184" s="14"/>
    </row>
    <row r="185" spans="54:58" x14ac:dyDescent="0.25">
      <c r="BB185" s="14"/>
      <c r="BC185"/>
      <c r="BD185"/>
      <c r="BE185" s="14"/>
      <c r="BF185" s="14"/>
    </row>
    <row r="186" spans="54:58" x14ac:dyDescent="0.25">
      <c r="BB186" s="14"/>
      <c r="BC186"/>
      <c r="BD186"/>
      <c r="BE186" s="14"/>
      <c r="BF186" s="14"/>
    </row>
    <row r="187" spans="54:58" x14ac:dyDescent="0.25">
      <c r="BB187" s="14"/>
      <c r="BC187"/>
      <c r="BD187"/>
      <c r="BE187" s="14"/>
      <c r="BF187" s="14"/>
    </row>
    <row r="188" spans="54:58" x14ac:dyDescent="0.25">
      <c r="BB188" s="14"/>
      <c r="BC188"/>
      <c r="BD188"/>
      <c r="BE188" s="14"/>
      <c r="BF188" s="14"/>
    </row>
    <row r="189" spans="54:58" x14ac:dyDescent="0.25">
      <c r="BB189" s="14"/>
      <c r="BC189"/>
      <c r="BD189"/>
      <c r="BE189" s="14"/>
      <c r="BF189" s="14"/>
    </row>
    <row r="190" spans="54:58" x14ac:dyDescent="0.25">
      <c r="BB190" s="14"/>
      <c r="BC190"/>
      <c r="BD190"/>
      <c r="BE190" s="14"/>
      <c r="BF190" s="14"/>
    </row>
    <row r="191" spans="54:58" x14ac:dyDescent="0.25">
      <c r="BB191" s="14"/>
      <c r="BC191"/>
      <c r="BD191"/>
      <c r="BE191" s="14"/>
      <c r="BF191" s="14"/>
    </row>
    <row r="192" spans="54:58" x14ac:dyDescent="0.25">
      <c r="BB192" s="14"/>
      <c r="BC192"/>
      <c r="BD192"/>
      <c r="BE192" s="14"/>
      <c r="BF192" s="14"/>
    </row>
    <row r="193" spans="54:58" x14ac:dyDescent="0.25">
      <c r="BB193" s="14"/>
      <c r="BC193"/>
      <c r="BD193"/>
      <c r="BE193" s="14"/>
      <c r="BF193" s="14"/>
    </row>
    <row r="194" spans="54:58" x14ac:dyDescent="0.25">
      <c r="BB194" s="14"/>
      <c r="BC194"/>
      <c r="BD194"/>
      <c r="BE194" s="14"/>
      <c r="BF194" s="14"/>
    </row>
    <row r="195" spans="54:58" x14ac:dyDescent="0.25">
      <c r="BB195" s="14"/>
      <c r="BC195"/>
      <c r="BD195"/>
      <c r="BE195" s="14"/>
      <c r="BF195" s="14"/>
    </row>
    <row r="196" spans="54:58" x14ac:dyDescent="0.25">
      <c r="BB196" s="14"/>
      <c r="BC196"/>
      <c r="BD196"/>
      <c r="BE196" s="14"/>
      <c r="BF196" s="14"/>
    </row>
    <row r="197" spans="54:58" x14ac:dyDescent="0.25">
      <c r="BB197" s="14"/>
      <c r="BC197"/>
      <c r="BD197"/>
      <c r="BE197" s="14"/>
      <c r="BF197" s="14"/>
    </row>
    <row r="198" spans="54:58" x14ac:dyDescent="0.25">
      <c r="BB198" s="14"/>
      <c r="BC198"/>
      <c r="BD198"/>
      <c r="BE198" s="14"/>
      <c r="BF198" s="14"/>
    </row>
    <row r="199" spans="54:58" x14ac:dyDescent="0.25">
      <c r="BB199" s="14"/>
      <c r="BC199"/>
      <c r="BD199"/>
      <c r="BE199" s="14"/>
      <c r="BF199" s="14"/>
    </row>
    <row r="200" spans="54:58" x14ac:dyDescent="0.25">
      <c r="BB200" s="14"/>
      <c r="BC200"/>
      <c r="BD200"/>
      <c r="BE200" s="14"/>
      <c r="BF200" s="14"/>
    </row>
    <row r="201" spans="54:58" x14ac:dyDescent="0.25">
      <c r="BB201" s="14"/>
      <c r="BC201"/>
      <c r="BD201"/>
      <c r="BE201" s="14"/>
      <c r="BF201" s="14"/>
    </row>
    <row r="202" spans="54:58" x14ac:dyDescent="0.25">
      <c r="BB202" s="14"/>
      <c r="BC202"/>
      <c r="BD202"/>
      <c r="BE202" s="14"/>
      <c r="BF202" s="14"/>
    </row>
    <row r="203" spans="54:58" x14ac:dyDescent="0.25">
      <c r="BB203" s="14"/>
      <c r="BC203"/>
      <c r="BD203"/>
      <c r="BE203" s="14"/>
      <c r="BF203" s="14"/>
    </row>
    <row r="204" spans="54:58" x14ac:dyDescent="0.25">
      <c r="BB204" s="14"/>
      <c r="BC204"/>
      <c r="BD204"/>
      <c r="BE204" s="14"/>
      <c r="BF204" s="14"/>
    </row>
    <row r="205" spans="54:58" x14ac:dyDescent="0.25">
      <c r="BB205" s="14"/>
      <c r="BC205"/>
      <c r="BD205"/>
      <c r="BE205" s="14"/>
      <c r="BF205" s="14"/>
    </row>
    <row r="206" spans="54:58" x14ac:dyDescent="0.25">
      <c r="BB206" s="14"/>
      <c r="BC206"/>
      <c r="BD206"/>
      <c r="BE206" s="14"/>
      <c r="BF206" s="14"/>
    </row>
    <row r="207" spans="54:58" x14ac:dyDescent="0.25">
      <c r="BB207" s="14"/>
      <c r="BC207"/>
      <c r="BD207"/>
      <c r="BE207" s="14"/>
      <c r="BF207" s="14"/>
    </row>
    <row r="208" spans="54:58" x14ac:dyDescent="0.25">
      <c r="BB208" s="14"/>
      <c r="BC208"/>
      <c r="BD208"/>
      <c r="BE208" s="14"/>
      <c r="BF208" s="14"/>
    </row>
    <row r="209" spans="54:58" x14ac:dyDescent="0.25">
      <c r="BB209" s="14"/>
      <c r="BC209"/>
      <c r="BD209"/>
      <c r="BE209" s="14"/>
      <c r="BF209" s="14"/>
    </row>
    <row r="210" spans="54:58" x14ac:dyDescent="0.25">
      <c r="BB210" s="14"/>
      <c r="BC210"/>
      <c r="BD210"/>
      <c r="BE210" s="14"/>
      <c r="BF210" s="14"/>
    </row>
    <row r="211" spans="54:58" x14ac:dyDescent="0.25">
      <c r="BB211" s="14"/>
      <c r="BC211"/>
      <c r="BD211"/>
      <c r="BE211" s="14"/>
      <c r="BF211" s="14"/>
    </row>
    <row r="212" spans="54:58" x14ac:dyDescent="0.25">
      <c r="BB212" s="14"/>
      <c r="BC212"/>
      <c r="BD212"/>
      <c r="BE212" s="14"/>
      <c r="BF212" s="14"/>
    </row>
    <row r="213" spans="54:58" x14ac:dyDescent="0.25">
      <c r="BB213" s="14"/>
      <c r="BC213"/>
      <c r="BD213"/>
      <c r="BE213" s="14"/>
      <c r="BF213" s="14"/>
    </row>
    <row r="214" spans="54:58" x14ac:dyDescent="0.25">
      <c r="BB214" s="14"/>
      <c r="BC214"/>
      <c r="BD214"/>
      <c r="BE214" s="14"/>
      <c r="BF214" s="14"/>
    </row>
    <row r="215" spans="54:58" x14ac:dyDescent="0.25">
      <c r="BB215" s="14"/>
      <c r="BC215"/>
      <c r="BD215"/>
      <c r="BE215" s="14"/>
      <c r="BF215" s="14"/>
    </row>
    <row r="216" spans="54:58" x14ac:dyDescent="0.25">
      <c r="BB216" s="14"/>
      <c r="BC216"/>
      <c r="BD216"/>
      <c r="BE216" s="14"/>
      <c r="BF216" s="14"/>
    </row>
    <row r="217" spans="54:58" x14ac:dyDescent="0.25">
      <c r="BB217" s="14"/>
      <c r="BC217"/>
      <c r="BD217"/>
      <c r="BE217" s="14"/>
      <c r="BF217" s="14"/>
    </row>
    <row r="218" spans="54:58" x14ac:dyDescent="0.25">
      <c r="BB218" s="14"/>
      <c r="BC218"/>
      <c r="BD218"/>
      <c r="BE218" s="14"/>
      <c r="BF218" s="14"/>
    </row>
    <row r="219" spans="54:58" x14ac:dyDescent="0.25">
      <c r="BB219" s="14"/>
      <c r="BC219"/>
      <c r="BD219"/>
      <c r="BE219" s="14"/>
      <c r="BF219" s="14"/>
    </row>
    <row r="220" spans="54:58" x14ac:dyDescent="0.25">
      <c r="BB220" s="14"/>
      <c r="BC220"/>
      <c r="BD220"/>
      <c r="BE220" s="14"/>
      <c r="BF220" s="14"/>
    </row>
    <row r="221" spans="54:58" x14ac:dyDescent="0.25">
      <c r="BB221" s="14"/>
      <c r="BC221"/>
      <c r="BD221"/>
      <c r="BE221" s="14"/>
      <c r="BF221" s="14"/>
    </row>
    <row r="222" spans="54:58" x14ac:dyDescent="0.25">
      <c r="BB222" s="14"/>
      <c r="BC222"/>
      <c r="BD222"/>
      <c r="BE222" s="14"/>
      <c r="BF222" s="14"/>
    </row>
    <row r="223" spans="54:58" x14ac:dyDescent="0.25">
      <c r="BB223" s="14"/>
      <c r="BC223"/>
      <c r="BD223"/>
      <c r="BE223" s="14"/>
      <c r="BF223" s="14"/>
    </row>
    <row r="224" spans="54:58" x14ac:dyDescent="0.25">
      <c r="BB224" s="14"/>
      <c r="BC224"/>
      <c r="BD224"/>
      <c r="BE224" s="14"/>
      <c r="BF224" s="14"/>
    </row>
    <row r="225" spans="54:58" x14ac:dyDescent="0.25">
      <c r="BB225" s="14"/>
      <c r="BC225"/>
      <c r="BD225"/>
      <c r="BE225" s="14"/>
      <c r="BF225" s="14"/>
    </row>
    <row r="226" spans="54:58" x14ac:dyDescent="0.25">
      <c r="BB226" s="14"/>
      <c r="BC226"/>
      <c r="BD226"/>
      <c r="BE226" s="14"/>
      <c r="BF226" s="14"/>
    </row>
    <row r="227" spans="54:58" x14ac:dyDescent="0.25">
      <c r="BB227" s="14"/>
      <c r="BC227"/>
      <c r="BD227"/>
      <c r="BE227" s="14"/>
      <c r="BF227" s="14"/>
    </row>
    <row r="228" spans="54:58" x14ac:dyDescent="0.25">
      <c r="BB228" s="14"/>
      <c r="BC228"/>
      <c r="BD228"/>
      <c r="BE228" s="14"/>
      <c r="BF228" s="14"/>
    </row>
    <row r="229" spans="54:58" x14ac:dyDescent="0.25">
      <c r="BB229" s="14"/>
      <c r="BC229"/>
      <c r="BD229"/>
      <c r="BE229" s="14"/>
      <c r="BF229" s="14"/>
    </row>
    <row r="230" spans="54:58" x14ac:dyDescent="0.25">
      <c r="BB230" s="14"/>
      <c r="BC230"/>
      <c r="BD230"/>
      <c r="BE230" s="14"/>
      <c r="BF230" s="14"/>
    </row>
    <row r="231" spans="54:58" x14ac:dyDescent="0.25">
      <c r="BB231" s="14"/>
      <c r="BC231"/>
      <c r="BD231"/>
      <c r="BE231" s="14"/>
      <c r="BF231" s="14"/>
    </row>
    <row r="232" spans="54:58" x14ac:dyDescent="0.25">
      <c r="BB232" s="14"/>
      <c r="BC232"/>
      <c r="BD232"/>
      <c r="BE232" s="14"/>
      <c r="BF232" s="14"/>
    </row>
    <row r="233" spans="54:58" x14ac:dyDescent="0.25">
      <c r="BB233" s="14"/>
      <c r="BC233"/>
      <c r="BD233"/>
      <c r="BE233" s="14"/>
      <c r="BF233" s="14"/>
    </row>
    <row r="234" spans="54:58" x14ac:dyDescent="0.25">
      <c r="BB234" s="14"/>
      <c r="BC234"/>
      <c r="BD234"/>
      <c r="BE234" s="14"/>
      <c r="BF234" s="14"/>
    </row>
    <row r="235" spans="54:58" x14ac:dyDescent="0.25">
      <c r="BB235" s="14"/>
      <c r="BC235"/>
      <c r="BD235"/>
      <c r="BE235" s="14"/>
      <c r="BF235" s="14"/>
    </row>
    <row r="236" spans="54:58" x14ac:dyDescent="0.25">
      <c r="BB236" s="14"/>
      <c r="BC236"/>
      <c r="BD236"/>
      <c r="BE236" s="14"/>
      <c r="BF236" s="14"/>
    </row>
    <row r="237" spans="54:58" x14ac:dyDescent="0.25">
      <c r="BB237" s="14"/>
      <c r="BC237"/>
      <c r="BD237"/>
      <c r="BE237" s="14"/>
      <c r="BF237" s="14"/>
    </row>
    <row r="238" spans="54:58" x14ac:dyDescent="0.25">
      <c r="BB238" s="14"/>
      <c r="BC238"/>
      <c r="BD238"/>
      <c r="BE238" s="14"/>
      <c r="BF238" s="14"/>
    </row>
    <row r="239" spans="54:58" x14ac:dyDescent="0.25">
      <c r="BB239" s="14"/>
      <c r="BC239"/>
      <c r="BD239"/>
      <c r="BE239" s="14"/>
      <c r="BF239" s="14"/>
    </row>
    <row r="240" spans="54:58" x14ac:dyDescent="0.25">
      <c r="BB240" s="14"/>
      <c r="BC240"/>
      <c r="BD240"/>
      <c r="BE240" s="14"/>
      <c r="BF240" s="14"/>
    </row>
    <row r="241" spans="54:58" x14ac:dyDescent="0.25">
      <c r="BB241" s="14"/>
      <c r="BC241"/>
      <c r="BD241"/>
      <c r="BE241" s="14"/>
      <c r="BF241" s="14"/>
    </row>
    <row r="242" spans="54:58" x14ac:dyDescent="0.25">
      <c r="BB242" s="14"/>
      <c r="BC242"/>
      <c r="BD242"/>
      <c r="BE242" s="14"/>
      <c r="BF242" s="14"/>
    </row>
    <row r="243" spans="54:58" x14ac:dyDescent="0.25">
      <c r="BB243" s="14"/>
      <c r="BC243"/>
      <c r="BD243"/>
      <c r="BE243" s="14"/>
      <c r="BF243" s="14"/>
    </row>
    <row r="244" spans="54:58" x14ac:dyDescent="0.25">
      <c r="BB244" s="14"/>
      <c r="BC244"/>
      <c r="BD244"/>
      <c r="BE244" s="14"/>
      <c r="BF244" s="14"/>
    </row>
    <row r="245" spans="54:58" x14ac:dyDescent="0.25">
      <c r="BB245" s="14"/>
      <c r="BC245"/>
      <c r="BD245"/>
      <c r="BE245" s="14"/>
      <c r="BF245" s="14"/>
    </row>
    <row r="246" spans="54:58" x14ac:dyDescent="0.25">
      <c r="BB246" s="14"/>
      <c r="BC246"/>
      <c r="BD246"/>
      <c r="BE246" s="14"/>
      <c r="BF246" s="14"/>
    </row>
    <row r="247" spans="54:58" x14ac:dyDescent="0.25">
      <c r="BB247" s="14"/>
      <c r="BC247"/>
      <c r="BD247"/>
      <c r="BE247" s="14"/>
      <c r="BF247" s="14"/>
    </row>
    <row r="248" spans="54:58" x14ac:dyDescent="0.25">
      <c r="BB248" s="14"/>
      <c r="BC248"/>
      <c r="BD248"/>
      <c r="BE248" s="14"/>
      <c r="BF248" s="14"/>
    </row>
    <row r="249" spans="54:58" x14ac:dyDescent="0.25">
      <c r="BB249" s="14"/>
      <c r="BC249"/>
      <c r="BD249"/>
      <c r="BE249" s="14"/>
      <c r="BF249" s="14"/>
    </row>
    <row r="250" spans="54:58" x14ac:dyDescent="0.25">
      <c r="BB250" s="14"/>
      <c r="BC250"/>
      <c r="BD250"/>
      <c r="BE250" s="14"/>
      <c r="BF250" s="14"/>
    </row>
    <row r="251" spans="54:58" x14ac:dyDescent="0.25">
      <c r="BB251" s="14"/>
      <c r="BC251"/>
      <c r="BD251"/>
      <c r="BE251" s="14"/>
      <c r="BF251" s="14"/>
    </row>
  </sheetData>
  <sheetProtection selectLockedCells="1" selectUnlockedCells="1"/>
  <autoFilter ref="A1:X110" xr:uid="{00000000-0009-0000-0000-000009000000}"/>
  <phoneticPr fontId="48" type="noConversion"/>
  <pageMargins left="0.70866141732283472" right="0.70866141732283472" top="0.74803149606299213" bottom="0.74803149606299213" header="0.31496062992125984" footer="0.31496062992125984"/>
  <pageSetup paperSize="9" scale="12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34"/>
  <sheetViews>
    <sheetView topLeftCell="W13" zoomScale="98" zoomScaleNormal="98" zoomScaleSheetLayoutView="100" workbookViewId="0">
      <selection activeCell="AI30" sqref="AI30"/>
    </sheetView>
  </sheetViews>
  <sheetFormatPr defaultColWidth="10.28515625" defaultRowHeight="12.75" customHeight="1" x14ac:dyDescent="0.25"/>
  <cols>
    <col min="1" max="1" width="26.5703125" style="2" hidden="1" customWidth="1"/>
    <col min="2" max="2" width="16.42578125" style="7" hidden="1" customWidth="1"/>
    <col min="3" max="3" width="13.28515625" style="2" hidden="1" customWidth="1"/>
    <col min="4" max="4" width="12.85546875" style="7" hidden="1" customWidth="1"/>
    <col min="5" max="5" width="15.85546875" style="7" hidden="1" customWidth="1"/>
    <col min="6" max="6" width="17.5703125" style="2" hidden="1" customWidth="1"/>
    <col min="7" max="7" width="17.42578125" style="7" hidden="1" customWidth="1"/>
    <col min="8" max="8" width="20.42578125" style="7" hidden="1" customWidth="1"/>
    <col min="9" max="12" width="21.28515625" style="7" hidden="1" customWidth="1"/>
    <col min="13" max="13" width="23.7109375" style="2" hidden="1" customWidth="1"/>
    <col min="14" max="14" width="17.28515625" style="84" hidden="1" customWidth="1"/>
    <col min="15" max="15" width="22.5703125" style="2" hidden="1" customWidth="1"/>
    <col min="16" max="17" width="21" style="84" hidden="1" customWidth="1"/>
    <col min="18" max="18" width="25.140625" style="84" hidden="1" customWidth="1"/>
    <col min="19" max="19" width="15.5703125" style="84" hidden="1" customWidth="1"/>
    <col min="20" max="20" width="24" style="2" hidden="1" customWidth="1"/>
    <col min="21" max="21" width="19.85546875" style="84" hidden="1" customWidth="1"/>
    <col min="22" max="22" width="21.42578125" style="202" hidden="1" customWidth="1"/>
    <col min="23" max="23" width="36.7109375" style="277" customWidth="1"/>
    <col min="24" max="24" width="19.85546875" style="84" hidden="1" customWidth="1"/>
    <col min="25" max="25" width="15.7109375" style="84" hidden="1" customWidth="1"/>
    <col min="26" max="26" width="17.7109375" style="2" hidden="1" customWidth="1"/>
    <col min="27" max="27" width="16" style="2" hidden="1" customWidth="1"/>
    <col min="28" max="28" width="21.5703125" style="618" hidden="1" customWidth="1"/>
    <col min="29" max="29" width="18.28515625" style="618" customWidth="1"/>
    <col min="30" max="30" width="20.42578125" style="746" customWidth="1"/>
    <col min="31" max="31" width="21.7109375" style="789" customWidth="1"/>
    <col min="32" max="34" width="10.28515625" style="2"/>
    <col min="35" max="35" width="10.28515625" style="746"/>
    <col min="36" max="259" width="10.28515625" style="2"/>
    <col min="260" max="260" width="18.42578125" style="2" bestFit="1" customWidth="1"/>
    <col min="261" max="261" width="26.5703125" style="2" bestFit="1" customWidth="1"/>
    <col min="262" max="266" width="0" style="2" hidden="1" customWidth="1"/>
    <col min="267" max="267" width="17.42578125" style="2" bestFit="1" customWidth="1"/>
    <col min="268" max="268" width="20.42578125" style="2" customWidth="1"/>
    <col min="269" max="269" width="21.28515625" style="2" customWidth="1"/>
    <col min="270" max="515" width="10.28515625" style="2"/>
    <col min="516" max="516" width="18.42578125" style="2" bestFit="1" customWidth="1"/>
    <col min="517" max="517" width="26.5703125" style="2" bestFit="1" customWidth="1"/>
    <col min="518" max="522" width="0" style="2" hidden="1" customWidth="1"/>
    <col min="523" max="523" width="17.42578125" style="2" bestFit="1" customWidth="1"/>
    <col min="524" max="524" width="20.42578125" style="2" customWidth="1"/>
    <col min="525" max="525" width="21.28515625" style="2" customWidth="1"/>
    <col min="526" max="771" width="10.28515625" style="2"/>
    <col min="772" max="772" width="18.42578125" style="2" bestFit="1" customWidth="1"/>
    <col min="773" max="773" width="26.5703125" style="2" bestFit="1" customWidth="1"/>
    <col min="774" max="778" width="0" style="2" hidden="1" customWidth="1"/>
    <col min="779" max="779" width="17.42578125" style="2" bestFit="1" customWidth="1"/>
    <col min="780" max="780" width="20.42578125" style="2" customWidth="1"/>
    <col min="781" max="781" width="21.28515625" style="2" customWidth="1"/>
    <col min="782" max="1027" width="10.28515625" style="2"/>
    <col min="1028" max="1028" width="18.42578125" style="2" bestFit="1" customWidth="1"/>
    <col min="1029" max="1029" width="26.5703125" style="2" bestFit="1" customWidth="1"/>
    <col min="1030" max="1034" width="0" style="2" hidden="1" customWidth="1"/>
    <col min="1035" max="1035" width="17.42578125" style="2" bestFit="1" customWidth="1"/>
    <col min="1036" max="1036" width="20.42578125" style="2" customWidth="1"/>
    <col min="1037" max="1037" width="21.28515625" style="2" customWidth="1"/>
    <col min="1038" max="1283" width="10.28515625" style="2"/>
    <col min="1284" max="1284" width="18.42578125" style="2" bestFit="1" customWidth="1"/>
    <col min="1285" max="1285" width="26.5703125" style="2" bestFit="1" customWidth="1"/>
    <col min="1286" max="1290" width="0" style="2" hidden="1" customWidth="1"/>
    <col min="1291" max="1291" width="17.42578125" style="2" bestFit="1" customWidth="1"/>
    <col min="1292" max="1292" width="20.42578125" style="2" customWidth="1"/>
    <col min="1293" max="1293" width="21.28515625" style="2" customWidth="1"/>
    <col min="1294" max="1539" width="10.28515625" style="2"/>
    <col min="1540" max="1540" width="18.42578125" style="2" bestFit="1" customWidth="1"/>
    <col min="1541" max="1541" width="26.5703125" style="2" bestFit="1" customWidth="1"/>
    <col min="1542" max="1546" width="0" style="2" hidden="1" customWidth="1"/>
    <col min="1547" max="1547" width="17.42578125" style="2" bestFit="1" customWidth="1"/>
    <col min="1548" max="1548" width="20.42578125" style="2" customWidth="1"/>
    <col min="1549" max="1549" width="21.28515625" style="2" customWidth="1"/>
    <col min="1550" max="1795" width="10.28515625" style="2"/>
    <col min="1796" max="1796" width="18.42578125" style="2" bestFit="1" customWidth="1"/>
    <col min="1797" max="1797" width="26.5703125" style="2" bestFit="1" customWidth="1"/>
    <col min="1798" max="1802" width="0" style="2" hidden="1" customWidth="1"/>
    <col min="1803" max="1803" width="17.42578125" style="2" bestFit="1" customWidth="1"/>
    <col min="1804" max="1804" width="20.42578125" style="2" customWidth="1"/>
    <col min="1805" max="1805" width="21.28515625" style="2" customWidth="1"/>
    <col min="1806" max="2051" width="10.28515625" style="2"/>
    <col min="2052" max="2052" width="18.42578125" style="2" bestFit="1" customWidth="1"/>
    <col min="2053" max="2053" width="26.5703125" style="2" bestFit="1" customWidth="1"/>
    <col min="2054" max="2058" width="0" style="2" hidden="1" customWidth="1"/>
    <col min="2059" max="2059" width="17.42578125" style="2" bestFit="1" customWidth="1"/>
    <col min="2060" max="2060" width="20.42578125" style="2" customWidth="1"/>
    <col min="2061" max="2061" width="21.28515625" style="2" customWidth="1"/>
    <col min="2062" max="2307" width="10.28515625" style="2"/>
    <col min="2308" max="2308" width="18.42578125" style="2" bestFit="1" customWidth="1"/>
    <col min="2309" max="2309" width="26.5703125" style="2" bestFit="1" customWidth="1"/>
    <col min="2310" max="2314" width="0" style="2" hidden="1" customWidth="1"/>
    <col min="2315" max="2315" width="17.42578125" style="2" bestFit="1" customWidth="1"/>
    <col min="2316" max="2316" width="20.42578125" style="2" customWidth="1"/>
    <col min="2317" max="2317" width="21.28515625" style="2" customWidth="1"/>
    <col min="2318" max="2563" width="10.28515625" style="2"/>
    <col min="2564" max="2564" width="18.42578125" style="2" bestFit="1" customWidth="1"/>
    <col min="2565" max="2565" width="26.5703125" style="2" bestFit="1" customWidth="1"/>
    <col min="2566" max="2570" width="0" style="2" hidden="1" customWidth="1"/>
    <col min="2571" max="2571" width="17.42578125" style="2" bestFit="1" customWidth="1"/>
    <col min="2572" max="2572" width="20.42578125" style="2" customWidth="1"/>
    <col min="2573" max="2573" width="21.28515625" style="2" customWidth="1"/>
    <col min="2574" max="2819" width="10.28515625" style="2"/>
    <col min="2820" max="2820" width="18.42578125" style="2" bestFit="1" customWidth="1"/>
    <col min="2821" max="2821" width="26.5703125" style="2" bestFit="1" customWidth="1"/>
    <col min="2822" max="2826" width="0" style="2" hidden="1" customWidth="1"/>
    <col min="2827" max="2827" width="17.42578125" style="2" bestFit="1" customWidth="1"/>
    <col min="2828" max="2828" width="20.42578125" style="2" customWidth="1"/>
    <col min="2829" max="2829" width="21.28515625" style="2" customWidth="1"/>
    <col min="2830" max="3075" width="10.28515625" style="2"/>
    <col min="3076" max="3076" width="18.42578125" style="2" bestFit="1" customWidth="1"/>
    <col min="3077" max="3077" width="26.5703125" style="2" bestFit="1" customWidth="1"/>
    <col min="3078" max="3082" width="0" style="2" hidden="1" customWidth="1"/>
    <col min="3083" max="3083" width="17.42578125" style="2" bestFit="1" customWidth="1"/>
    <col min="3084" max="3084" width="20.42578125" style="2" customWidth="1"/>
    <col min="3085" max="3085" width="21.28515625" style="2" customWidth="1"/>
    <col min="3086" max="3331" width="10.28515625" style="2"/>
    <col min="3332" max="3332" width="18.42578125" style="2" bestFit="1" customWidth="1"/>
    <col min="3333" max="3333" width="26.5703125" style="2" bestFit="1" customWidth="1"/>
    <col min="3334" max="3338" width="0" style="2" hidden="1" customWidth="1"/>
    <col min="3339" max="3339" width="17.42578125" style="2" bestFit="1" customWidth="1"/>
    <col min="3340" max="3340" width="20.42578125" style="2" customWidth="1"/>
    <col min="3341" max="3341" width="21.28515625" style="2" customWidth="1"/>
    <col min="3342" max="3587" width="10.28515625" style="2"/>
    <col min="3588" max="3588" width="18.42578125" style="2" bestFit="1" customWidth="1"/>
    <col min="3589" max="3589" width="26.5703125" style="2" bestFit="1" customWidth="1"/>
    <col min="3590" max="3594" width="0" style="2" hidden="1" customWidth="1"/>
    <col min="3595" max="3595" width="17.42578125" style="2" bestFit="1" customWidth="1"/>
    <col min="3596" max="3596" width="20.42578125" style="2" customWidth="1"/>
    <col min="3597" max="3597" width="21.28515625" style="2" customWidth="1"/>
    <col min="3598" max="3843" width="10.28515625" style="2"/>
    <col min="3844" max="3844" width="18.42578125" style="2" bestFit="1" customWidth="1"/>
    <col min="3845" max="3845" width="26.5703125" style="2" bestFit="1" customWidth="1"/>
    <col min="3846" max="3850" width="0" style="2" hidden="1" customWidth="1"/>
    <col min="3851" max="3851" width="17.42578125" style="2" bestFit="1" customWidth="1"/>
    <col min="3852" max="3852" width="20.42578125" style="2" customWidth="1"/>
    <col min="3853" max="3853" width="21.28515625" style="2" customWidth="1"/>
    <col min="3854" max="4099" width="10.28515625" style="2"/>
    <col min="4100" max="4100" width="18.42578125" style="2" bestFit="1" customWidth="1"/>
    <col min="4101" max="4101" width="26.5703125" style="2" bestFit="1" customWidth="1"/>
    <col min="4102" max="4106" width="0" style="2" hidden="1" customWidth="1"/>
    <col min="4107" max="4107" width="17.42578125" style="2" bestFit="1" customWidth="1"/>
    <col min="4108" max="4108" width="20.42578125" style="2" customWidth="1"/>
    <col min="4109" max="4109" width="21.28515625" style="2" customWidth="1"/>
    <col min="4110" max="4355" width="10.28515625" style="2"/>
    <col min="4356" max="4356" width="18.42578125" style="2" bestFit="1" customWidth="1"/>
    <col min="4357" max="4357" width="26.5703125" style="2" bestFit="1" customWidth="1"/>
    <col min="4358" max="4362" width="0" style="2" hidden="1" customWidth="1"/>
    <col min="4363" max="4363" width="17.42578125" style="2" bestFit="1" customWidth="1"/>
    <col min="4364" max="4364" width="20.42578125" style="2" customWidth="1"/>
    <col min="4365" max="4365" width="21.28515625" style="2" customWidth="1"/>
    <col min="4366" max="4611" width="10.28515625" style="2"/>
    <col min="4612" max="4612" width="18.42578125" style="2" bestFit="1" customWidth="1"/>
    <col min="4613" max="4613" width="26.5703125" style="2" bestFit="1" customWidth="1"/>
    <col min="4614" max="4618" width="0" style="2" hidden="1" customWidth="1"/>
    <col min="4619" max="4619" width="17.42578125" style="2" bestFit="1" customWidth="1"/>
    <col min="4620" max="4620" width="20.42578125" style="2" customWidth="1"/>
    <col min="4621" max="4621" width="21.28515625" style="2" customWidth="1"/>
    <col min="4622" max="4867" width="10.28515625" style="2"/>
    <col min="4868" max="4868" width="18.42578125" style="2" bestFit="1" customWidth="1"/>
    <col min="4869" max="4869" width="26.5703125" style="2" bestFit="1" customWidth="1"/>
    <col min="4870" max="4874" width="0" style="2" hidden="1" customWidth="1"/>
    <col min="4875" max="4875" width="17.42578125" style="2" bestFit="1" customWidth="1"/>
    <col min="4876" max="4876" width="20.42578125" style="2" customWidth="1"/>
    <col min="4877" max="4877" width="21.28515625" style="2" customWidth="1"/>
    <col min="4878" max="5123" width="10.28515625" style="2"/>
    <col min="5124" max="5124" width="18.42578125" style="2" bestFit="1" customWidth="1"/>
    <col min="5125" max="5125" width="26.5703125" style="2" bestFit="1" customWidth="1"/>
    <col min="5126" max="5130" width="0" style="2" hidden="1" customWidth="1"/>
    <col min="5131" max="5131" width="17.42578125" style="2" bestFit="1" customWidth="1"/>
    <col min="5132" max="5132" width="20.42578125" style="2" customWidth="1"/>
    <col min="5133" max="5133" width="21.28515625" style="2" customWidth="1"/>
    <col min="5134" max="5379" width="10.28515625" style="2"/>
    <col min="5380" max="5380" width="18.42578125" style="2" bestFit="1" customWidth="1"/>
    <col min="5381" max="5381" width="26.5703125" style="2" bestFit="1" customWidth="1"/>
    <col min="5382" max="5386" width="0" style="2" hidden="1" customWidth="1"/>
    <col min="5387" max="5387" width="17.42578125" style="2" bestFit="1" customWidth="1"/>
    <col min="5388" max="5388" width="20.42578125" style="2" customWidth="1"/>
    <col min="5389" max="5389" width="21.28515625" style="2" customWidth="1"/>
    <col min="5390" max="5635" width="10.28515625" style="2"/>
    <col min="5636" max="5636" width="18.42578125" style="2" bestFit="1" customWidth="1"/>
    <col min="5637" max="5637" width="26.5703125" style="2" bestFit="1" customWidth="1"/>
    <col min="5638" max="5642" width="0" style="2" hidden="1" customWidth="1"/>
    <col min="5643" max="5643" width="17.42578125" style="2" bestFit="1" customWidth="1"/>
    <col min="5644" max="5644" width="20.42578125" style="2" customWidth="1"/>
    <col min="5645" max="5645" width="21.28515625" style="2" customWidth="1"/>
    <col min="5646" max="5891" width="10.28515625" style="2"/>
    <col min="5892" max="5892" width="18.42578125" style="2" bestFit="1" customWidth="1"/>
    <col min="5893" max="5893" width="26.5703125" style="2" bestFit="1" customWidth="1"/>
    <col min="5894" max="5898" width="0" style="2" hidden="1" customWidth="1"/>
    <col min="5899" max="5899" width="17.42578125" style="2" bestFit="1" customWidth="1"/>
    <col min="5900" max="5900" width="20.42578125" style="2" customWidth="1"/>
    <col min="5901" max="5901" width="21.28515625" style="2" customWidth="1"/>
    <col min="5902" max="6147" width="10.28515625" style="2"/>
    <col min="6148" max="6148" width="18.42578125" style="2" bestFit="1" customWidth="1"/>
    <col min="6149" max="6149" width="26.5703125" style="2" bestFit="1" customWidth="1"/>
    <col min="6150" max="6154" width="0" style="2" hidden="1" customWidth="1"/>
    <col min="6155" max="6155" width="17.42578125" style="2" bestFit="1" customWidth="1"/>
    <col min="6156" max="6156" width="20.42578125" style="2" customWidth="1"/>
    <col min="6157" max="6157" width="21.28515625" style="2" customWidth="1"/>
    <col min="6158" max="6403" width="10.28515625" style="2"/>
    <col min="6404" max="6404" width="18.42578125" style="2" bestFit="1" customWidth="1"/>
    <col min="6405" max="6405" width="26.5703125" style="2" bestFit="1" customWidth="1"/>
    <col min="6406" max="6410" width="0" style="2" hidden="1" customWidth="1"/>
    <col min="6411" max="6411" width="17.42578125" style="2" bestFit="1" customWidth="1"/>
    <col min="6412" max="6412" width="20.42578125" style="2" customWidth="1"/>
    <col min="6413" max="6413" width="21.28515625" style="2" customWidth="1"/>
    <col min="6414" max="6659" width="10.28515625" style="2"/>
    <col min="6660" max="6660" width="18.42578125" style="2" bestFit="1" customWidth="1"/>
    <col min="6661" max="6661" width="26.5703125" style="2" bestFit="1" customWidth="1"/>
    <col min="6662" max="6666" width="0" style="2" hidden="1" customWidth="1"/>
    <col min="6667" max="6667" width="17.42578125" style="2" bestFit="1" customWidth="1"/>
    <col min="6668" max="6668" width="20.42578125" style="2" customWidth="1"/>
    <col min="6669" max="6669" width="21.28515625" style="2" customWidth="1"/>
    <col min="6670" max="6915" width="10.28515625" style="2"/>
    <col min="6916" max="6916" width="18.42578125" style="2" bestFit="1" customWidth="1"/>
    <col min="6917" max="6917" width="26.5703125" style="2" bestFit="1" customWidth="1"/>
    <col min="6918" max="6922" width="0" style="2" hidden="1" customWidth="1"/>
    <col min="6923" max="6923" width="17.42578125" style="2" bestFit="1" customWidth="1"/>
    <col min="6924" max="6924" width="20.42578125" style="2" customWidth="1"/>
    <col min="6925" max="6925" width="21.28515625" style="2" customWidth="1"/>
    <col min="6926" max="7171" width="10.28515625" style="2"/>
    <col min="7172" max="7172" width="18.42578125" style="2" bestFit="1" customWidth="1"/>
    <col min="7173" max="7173" width="26.5703125" style="2" bestFit="1" customWidth="1"/>
    <col min="7174" max="7178" width="0" style="2" hidden="1" customWidth="1"/>
    <col min="7179" max="7179" width="17.42578125" style="2" bestFit="1" customWidth="1"/>
    <col min="7180" max="7180" width="20.42578125" style="2" customWidth="1"/>
    <col min="7181" max="7181" width="21.28515625" style="2" customWidth="1"/>
    <col min="7182" max="7427" width="10.28515625" style="2"/>
    <col min="7428" max="7428" width="18.42578125" style="2" bestFit="1" customWidth="1"/>
    <col min="7429" max="7429" width="26.5703125" style="2" bestFit="1" customWidth="1"/>
    <col min="7430" max="7434" width="0" style="2" hidden="1" customWidth="1"/>
    <col min="7435" max="7435" width="17.42578125" style="2" bestFit="1" customWidth="1"/>
    <col min="7436" max="7436" width="20.42578125" style="2" customWidth="1"/>
    <col min="7437" max="7437" width="21.28515625" style="2" customWidth="1"/>
    <col min="7438" max="7683" width="10.28515625" style="2"/>
    <col min="7684" max="7684" width="18.42578125" style="2" bestFit="1" customWidth="1"/>
    <col min="7685" max="7685" width="26.5703125" style="2" bestFit="1" customWidth="1"/>
    <col min="7686" max="7690" width="0" style="2" hidden="1" customWidth="1"/>
    <col min="7691" max="7691" width="17.42578125" style="2" bestFit="1" customWidth="1"/>
    <col min="7692" max="7692" width="20.42578125" style="2" customWidth="1"/>
    <col min="7693" max="7693" width="21.28515625" style="2" customWidth="1"/>
    <col min="7694" max="7939" width="10.28515625" style="2"/>
    <col min="7940" max="7940" width="18.42578125" style="2" bestFit="1" customWidth="1"/>
    <col min="7941" max="7941" width="26.5703125" style="2" bestFit="1" customWidth="1"/>
    <col min="7942" max="7946" width="0" style="2" hidden="1" customWidth="1"/>
    <col min="7947" max="7947" width="17.42578125" style="2" bestFit="1" customWidth="1"/>
    <col min="7948" max="7948" width="20.42578125" style="2" customWidth="1"/>
    <col min="7949" max="7949" width="21.28515625" style="2" customWidth="1"/>
    <col min="7950" max="8195" width="10.28515625" style="2"/>
    <col min="8196" max="8196" width="18.42578125" style="2" bestFit="1" customWidth="1"/>
    <col min="8197" max="8197" width="26.5703125" style="2" bestFit="1" customWidth="1"/>
    <col min="8198" max="8202" width="0" style="2" hidden="1" customWidth="1"/>
    <col min="8203" max="8203" width="17.42578125" style="2" bestFit="1" customWidth="1"/>
    <col min="8204" max="8204" width="20.42578125" style="2" customWidth="1"/>
    <col min="8205" max="8205" width="21.28515625" style="2" customWidth="1"/>
    <col min="8206" max="8451" width="10.28515625" style="2"/>
    <col min="8452" max="8452" width="18.42578125" style="2" bestFit="1" customWidth="1"/>
    <col min="8453" max="8453" width="26.5703125" style="2" bestFit="1" customWidth="1"/>
    <col min="8454" max="8458" width="0" style="2" hidden="1" customWidth="1"/>
    <col min="8459" max="8459" width="17.42578125" style="2" bestFit="1" customWidth="1"/>
    <col min="8460" max="8460" width="20.42578125" style="2" customWidth="1"/>
    <col min="8461" max="8461" width="21.28515625" style="2" customWidth="1"/>
    <col min="8462" max="8707" width="10.28515625" style="2"/>
    <col min="8708" max="8708" width="18.42578125" style="2" bestFit="1" customWidth="1"/>
    <col min="8709" max="8709" width="26.5703125" style="2" bestFit="1" customWidth="1"/>
    <col min="8710" max="8714" width="0" style="2" hidden="1" customWidth="1"/>
    <col min="8715" max="8715" width="17.42578125" style="2" bestFit="1" customWidth="1"/>
    <col min="8716" max="8716" width="20.42578125" style="2" customWidth="1"/>
    <col min="8717" max="8717" width="21.28515625" style="2" customWidth="1"/>
    <col min="8718" max="8963" width="10.28515625" style="2"/>
    <col min="8964" max="8964" width="18.42578125" style="2" bestFit="1" customWidth="1"/>
    <col min="8965" max="8965" width="26.5703125" style="2" bestFit="1" customWidth="1"/>
    <col min="8966" max="8970" width="0" style="2" hidden="1" customWidth="1"/>
    <col min="8971" max="8971" width="17.42578125" style="2" bestFit="1" customWidth="1"/>
    <col min="8972" max="8972" width="20.42578125" style="2" customWidth="1"/>
    <col min="8973" max="8973" width="21.28515625" style="2" customWidth="1"/>
    <col min="8974" max="9219" width="10.28515625" style="2"/>
    <col min="9220" max="9220" width="18.42578125" style="2" bestFit="1" customWidth="1"/>
    <col min="9221" max="9221" width="26.5703125" style="2" bestFit="1" customWidth="1"/>
    <col min="9222" max="9226" width="0" style="2" hidden="1" customWidth="1"/>
    <col min="9227" max="9227" width="17.42578125" style="2" bestFit="1" customWidth="1"/>
    <col min="9228" max="9228" width="20.42578125" style="2" customWidth="1"/>
    <col min="9229" max="9229" width="21.28515625" style="2" customWidth="1"/>
    <col min="9230" max="9475" width="10.28515625" style="2"/>
    <col min="9476" max="9476" width="18.42578125" style="2" bestFit="1" customWidth="1"/>
    <col min="9477" max="9477" width="26.5703125" style="2" bestFit="1" customWidth="1"/>
    <col min="9478" max="9482" width="0" style="2" hidden="1" customWidth="1"/>
    <col min="9483" max="9483" width="17.42578125" style="2" bestFit="1" customWidth="1"/>
    <col min="9484" max="9484" width="20.42578125" style="2" customWidth="1"/>
    <col min="9485" max="9485" width="21.28515625" style="2" customWidth="1"/>
    <col min="9486" max="9731" width="10.28515625" style="2"/>
    <col min="9732" max="9732" width="18.42578125" style="2" bestFit="1" customWidth="1"/>
    <col min="9733" max="9733" width="26.5703125" style="2" bestFit="1" customWidth="1"/>
    <col min="9734" max="9738" width="0" style="2" hidden="1" customWidth="1"/>
    <col min="9739" max="9739" width="17.42578125" style="2" bestFit="1" customWidth="1"/>
    <col min="9740" max="9740" width="20.42578125" style="2" customWidth="1"/>
    <col min="9741" max="9741" width="21.28515625" style="2" customWidth="1"/>
    <col min="9742" max="9987" width="10.28515625" style="2"/>
    <col min="9988" max="9988" width="18.42578125" style="2" bestFit="1" customWidth="1"/>
    <col min="9989" max="9989" width="26.5703125" style="2" bestFit="1" customWidth="1"/>
    <col min="9990" max="9994" width="0" style="2" hidden="1" customWidth="1"/>
    <col min="9995" max="9995" width="17.42578125" style="2" bestFit="1" customWidth="1"/>
    <col min="9996" max="9996" width="20.42578125" style="2" customWidth="1"/>
    <col min="9997" max="9997" width="21.28515625" style="2" customWidth="1"/>
    <col min="9998" max="10243" width="10.28515625" style="2"/>
    <col min="10244" max="10244" width="18.42578125" style="2" bestFit="1" customWidth="1"/>
    <col min="10245" max="10245" width="26.5703125" style="2" bestFit="1" customWidth="1"/>
    <col min="10246" max="10250" width="0" style="2" hidden="1" customWidth="1"/>
    <col min="10251" max="10251" width="17.42578125" style="2" bestFit="1" customWidth="1"/>
    <col min="10252" max="10252" width="20.42578125" style="2" customWidth="1"/>
    <col min="10253" max="10253" width="21.28515625" style="2" customWidth="1"/>
    <col min="10254" max="10499" width="10.28515625" style="2"/>
    <col min="10500" max="10500" width="18.42578125" style="2" bestFit="1" customWidth="1"/>
    <col min="10501" max="10501" width="26.5703125" style="2" bestFit="1" customWidth="1"/>
    <col min="10502" max="10506" width="0" style="2" hidden="1" customWidth="1"/>
    <col min="10507" max="10507" width="17.42578125" style="2" bestFit="1" customWidth="1"/>
    <col min="10508" max="10508" width="20.42578125" style="2" customWidth="1"/>
    <col min="10509" max="10509" width="21.28515625" style="2" customWidth="1"/>
    <col min="10510" max="10755" width="10.28515625" style="2"/>
    <col min="10756" max="10756" width="18.42578125" style="2" bestFit="1" customWidth="1"/>
    <col min="10757" max="10757" width="26.5703125" style="2" bestFit="1" customWidth="1"/>
    <col min="10758" max="10762" width="0" style="2" hidden="1" customWidth="1"/>
    <col min="10763" max="10763" width="17.42578125" style="2" bestFit="1" customWidth="1"/>
    <col min="10764" max="10764" width="20.42578125" style="2" customWidth="1"/>
    <col min="10765" max="10765" width="21.28515625" style="2" customWidth="1"/>
    <col min="10766" max="11011" width="10.28515625" style="2"/>
    <col min="11012" max="11012" width="18.42578125" style="2" bestFit="1" customWidth="1"/>
    <col min="11013" max="11013" width="26.5703125" style="2" bestFit="1" customWidth="1"/>
    <col min="11014" max="11018" width="0" style="2" hidden="1" customWidth="1"/>
    <col min="11019" max="11019" width="17.42578125" style="2" bestFit="1" customWidth="1"/>
    <col min="11020" max="11020" width="20.42578125" style="2" customWidth="1"/>
    <col min="11021" max="11021" width="21.28515625" style="2" customWidth="1"/>
    <col min="11022" max="11267" width="10.28515625" style="2"/>
    <col min="11268" max="11268" width="18.42578125" style="2" bestFit="1" customWidth="1"/>
    <col min="11269" max="11269" width="26.5703125" style="2" bestFit="1" customWidth="1"/>
    <col min="11270" max="11274" width="0" style="2" hidden="1" customWidth="1"/>
    <col min="11275" max="11275" width="17.42578125" style="2" bestFit="1" customWidth="1"/>
    <col min="11276" max="11276" width="20.42578125" style="2" customWidth="1"/>
    <col min="11277" max="11277" width="21.28515625" style="2" customWidth="1"/>
    <col min="11278" max="11523" width="10.28515625" style="2"/>
    <col min="11524" max="11524" width="18.42578125" style="2" bestFit="1" customWidth="1"/>
    <col min="11525" max="11525" width="26.5703125" style="2" bestFit="1" customWidth="1"/>
    <col min="11526" max="11530" width="0" style="2" hidden="1" customWidth="1"/>
    <col min="11531" max="11531" width="17.42578125" style="2" bestFit="1" customWidth="1"/>
    <col min="11532" max="11532" width="20.42578125" style="2" customWidth="1"/>
    <col min="11533" max="11533" width="21.28515625" style="2" customWidth="1"/>
    <col min="11534" max="11779" width="10.28515625" style="2"/>
    <col min="11780" max="11780" width="18.42578125" style="2" bestFit="1" customWidth="1"/>
    <col min="11781" max="11781" width="26.5703125" style="2" bestFit="1" customWidth="1"/>
    <col min="11782" max="11786" width="0" style="2" hidden="1" customWidth="1"/>
    <col min="11787" max="11787" width="17.42578125" style="2" bestFit="1" customWidth="1"/>
    <col min="11788" max="11788" width="20.42578125" style="2" customWidth="1"/>
    <col min="11789" max="11789" width="21.28515625" style="2" customWidth="1"/>
    <col min="11790" max="12035" width="10.28515625" style="2"/>
    <col min="12036" max="12036" width="18.42578125" style="2" bestFit="1" customWidth="1"/>
    <col min="12037" max="12037" width="26.5703125" style="2" bestFit="1" customWidth="1"/>
    <col min="12038" max="12042" width="0" style="2" hidden="1" customWidth="1"/>
    <col min="12043" max="12043" width="17.42578125" style="2" bestFit="1" customWidth="1"/>
    <col min="12044" max="12044" width="20.42578125" style="2" customWidth="1"/>
    <col min="12045" max="12045" width="21.28515625" style="2" customWidth="1"/>
    <col min="12046" max="12291" width="10.28515625" style="2"/>
    <col min="12292" max="12292" width="18.42578125" style="2" bestFit="1" customWidth="1"/>
    <col min="12293" max="12293" width="26.5703125" style="2" bestFit="1" customWidth="1"/>
    <col min="12294" max="12298" width="0" style="2" hidden="1" customWidth="1"/>
    <col min="12299" max="12299" width="17.42578125" style="2" bestFit="1" customWidth="1"/>
    <col min="12300" max="12300" width="20.42578125" style="2" customWidth="1"/>
    <col min="12301" max="12301" width="21.28515625" style="2" customWidth="1"/>
    <col min="12302" max="12547" width="10.28515625" style="2"/>
    <col min="12548" max="12548" width="18.42578125" style="2" bestFit="1" customWidth="1"/>
    <col min="12549" max="12549" width="26.5703125" style="2" bestFit="1" customWidth="1"/>
    <col min="12550" max="12554" width="0" style="2" hidden="1" customWidth="1"/>
    <col min="12555" max="12555" width="17.42578125" style="2" bestFit="1" customWidth="1"/>
    <col min="12556" max="12556" width="20.42578125" style="2" customWidth="1"/>
    <col min="12557" max="12557" width="21.28515625" style="2" customWidth="1"/>
    <col min="12558" max="12803" width="10.28515625" style="2"/>
    <col min="12804" max="12804" width="18.42578125" style="2" bestFit="1" customWidth="1"/>
    <col min="12805" max="12805" width="26.5703125" style="2" bestFit="1" customWidth="1"/>
    <col min="12806" max="12810" width="0" style="2" hidden="1" customWidth="1"/>
    <col min="12811" max="12811" width="17.42578125" style="2" bestFit="1" customWidth="1"/>
    <col min="12812" max="12812" width="20.42578125" style="2" customWidth="1"/>
    <col min="12813" max="12813" width="21.28515625" style="2" customWidth="1"/>
    <col min="12814" max="13059" width="10.28515625" style="2"/>
    <col min="13060" max="13060" width="18.42578125" style="2" bestFit="1" customWidth="1"/>
    <col min="13061" max="13061" width="26.5703125" style="2" bestFit="1" customWidth="1"/>
    <col min="13062" max="13066" width="0" style="2" hidden="1" customWidth="1"/>
    <col min="13067" max="13067" width="17.42578125" style="2" bestFit="1" customWidth="1"/>
    <col min="13068" max="13068" width="20.42578125" style="2" customWidth="1"/>
    <col min="13069" max="13069" width="21.28515625" style="2" customWidth="1"/>
    <col min="13070" max="13315" width="10.28515625" style="2"/>
    <col min="13316" max="13316" width="18.42578125" style="2" bestFit="1" customWidth="1"/>
    <col min="13317" max="13317" width="26.5703125" style="2" bestFit="1" customWidth="1"/>
    <col min="13318" max="13322" width="0" style="2" hidden="1" customWidth="1"/>
    <col min="13323" max="13323" width="17.42578125" style="2" bestFit="1" customWidth="1"/>
    <col min="13324" max="13324" width="20.42578125" style="2" customWidth="1"/>
    <col min="13325" max="13325" width="21.28515625" style="2" customWidth="1"/>
    <col min="13326" max="13571" width="10.28515625" style="2"/>
    <col min="13572" max="13572" width="18.42578125" style="2" bestFit="1" customWidth="1"/>
    <col min="13573" max="13573" width="26.5703125" style="2" bestFit="1" customWidth="1"/>
    <col min="13574" max="13578" width="0" style="2" hidden="1" customWidth="1"/>
    <col min="13579" max="13579" width="17.42578125" style="2" bestFit="1" customWidth="1"/>
    <col min="13580" max="13580" width="20.42578125" style="2" customWidth="1"/>
    <col min="13581" max="13581" width="21.28515625" style="2" customWidth="1"/>
    <col min="13582" max="13827" width="10.28515625" style="2"/>
    <col min="13828" max="13828" width="18.42578125" style="2" bestFit="1" customWidth="1"/>
    <col min="13829" max="13829" width="26.5703125" style="2" bestFit="1" customWidth="1"/>
    <col min="13830" max="13834" width="0" style="2" hidden="1" customWidth="1"/>
    <col min="13835" max="13835" width="17.42578125" style="2" bestFit="1" customWidth="1"/>
    <col min="13836" max="13836" width="20.42578125" style="2" customWidth="1"/>
    <col min="13837" max="13837" width="21.28515625" style="2" customWidth="1"/>
    <col min="13838" max="14083" width="10.28515625" style="2"/>
    <col min="14084" max="14084" width="18.42578125" style="2" bestFit="1" customWidth="1"/>
    <col min="14085" max="14085" width="26.5703125" style="2" bestFit="1" customWidth="1"/>
    <col min="14086" max="14090" width="0" style="2" hidden="1" customWidth="1"/>
    <col min="14091" max="14091" width="17.42578125" style="2" bestFit="1" customWidth="1"/>
    <col min="14092" max="14092" width="20.42578125" style="2" customWidth="1"/>
    <col min="14093" max="14093" width="21.28515625" style="2" customWidth="1"/>
    <col min="14094" max="14339" width="10.28515625" style="2"/>
    <col min="14340" max="14340" width="18.42578125" style="2" bestFit="1" customWidth="1"/>
    <col min="14341" max="14341" width="26.5703125" style="2" bestFit="1" customWidth="1"/>
    <col min="14342" max="14346" width="0" style="2" hidden="1" customWidth="1"/>
    <col min="14347" max="14347" width="17.42578125" style="2" bestFit="1" customWidth="1"/>
    <col min="14348" max="14348" width="20.42578125" style="2" customWidth="1"/>
    <col min="14349" max="14349" width="21.28515625" style="2" customWidth="1"/>
    <col min="14350" max="14595" width="10.28515625" style="2"/>
    <col min="14596" max="14596" width="18.42578125" style="2" bestFit="1" customWidth="1"/>
    <col min="14597" max="14597" width="26.5703125" style="2" bestFit="1" customWidth="1"/>
    <col min="14598" max="14602" width="0" style="2" hidden="1" customWidth="1"/>
    <col min="14603" max="14603" width="17.42578125" style="2" bestFit="1" customWidth="1"/>
    <col min="14604" max="14604" width="20.42578125" style="2" customWidth="1"/>
    <col min="14605" max="14605" width="21.28515625" style="2" customWidth="1"/>
    <col min="14606" max="14851" width="10.28515625" style="2"/>
    <col min="14852" max="14852" width="18.42578125" style="2" bestFit="1" customWidth="1"/>
    <col min="14853" max="14853" width="26.5703125" style="2" bestFit="1" customWidth="1"/>
    <col min="14854" max="14858" width="0" style="2" hidden="1" customWidth="1"/>
    <col min="14859" max="14859" width="17.42578125" style="2" bestFit="1" customWidth="1"/>
    <col min="14860" max="14860" width="20.42578125" style="2" customWidth="1"/>
    <col min="14861" max="14861" width="21.28515625" style="2" customWidth="1"/>
    <col min="14862" max="15107" width="10.28515625" style="2"/>
    <col min="15108" max="15108" width="18.42578125" style="2" bestFit="1" customWidth="1"/>
    <col min="15109" max="15109" width="26.5703125" style="2" bestFit="1" customWidth="1"/>
    <col min="15110" max="15114" width="0" style="2" hidden="1" customWidth="1"/>
    <col min="15115" max="15115" width="17.42578125" style="2" bestFit="1" customWidth="1"/>
    <col min="15116" max="15116" width="20.42578125" style="2" customWidth="1"/>
    <col min="15117" max="15117" width="21.28515625" style="2" customWidth="1"/>
    <col min="15118" max="15363" width="10.28515625" style="2"/>
    <col min="15364" max="15364" width="18.42578125" style="2" bestFit="1" customWidth="1"/>
    <col min="15365" max="15365" width="26.5703125" style="2" bestFit="1" customWidth="1"/>
    <col min="15366" max="15370" width="0" style="2" hidden="1" customWidth="1"/>
    <col min="15371" max="15371" width="17.42578125" style="2" bestFit="1" customWidth="1"/>
    <col min="15372" max="15372" width="20.42578125" style="2" customWidth="1"/>
    <col min="15373" max="15373" width="21.28515625" style="2" customWidth="1"/>
    <col min="15374" max="15619" width="10.28515625" style="2"/>
    <col min="15620" max="15620" width="18.42578125" style="2" bestFit="1" customWidth="1"/>
    <col min="15621" max="15621" width="26.5703125" style="2" bestFit="1" customWidth="1"/>
    <col min="15622" max="15626" width="0" style="2" hidden="1" customWidth="1"/>
    <col min="15627" max="15627" width="17.42578125" style="2" bestFit="1" customWidth="1"/>
    <col min="15628" max="15628" width="20.42578125" style="2" customWidth="1"/>
    <col min="15629" max="15629" width="21.28515625" style="2" customWidth="1"/>
    <col min="15630" max="15875" width="10.28515625" style="2"/>
    <col min="15876" max="15876" width="18.42578125" style="2" bestFit="1" customWidth="1"/>
    <col min="15877" max="15877" width="26.5703125" style="2" bestFit="1" customWidth="1"/>
    <col min="15878" max="15882" width="0" style="2" hidden="1" customWidth="1"/>
    <col min="15883" max="15883" width="17.42578125" style="2" bestFit="1" customWidth="1"/>
    <col min="15884" max="15884" width="20.42578125" style="2" customWidth="1"/>
    <col min="15885" max="15885" width="21.28515625" style="2" customWidth="1"/>
    <col min="15886" max="16131" width="10.28515625" style="2"/>
    <col min="16132" max="16132" width="18.42578125" style="2" bestFit="1" customWidth="1"/>
    <col min="16133" max="16133" width="26.5703125" style="2" bestFit="1" customWidth="1"/>
    <col min="16134" max="16138" width="0" style="2" hidden="1" customWidth="1"/>
    <col min="16139" max="16139" width="17.42578125" style="2" bestFit="1" customWidth="1"/>
    <col min="16140" max="16140" width="20.42578125" style="2" customWidth="1"/>
    <col min="16141" max="16141" width="21.28515625" style="2" customWidth="1"/>
    <col min="16142" max="16384" width="10.28515625" style="2"/>
  </cols>
  <sheetData>
    <row r="1" spans="1:33" ht="44.25" customHeight="1" x14ac:dyDescent="0.25">
      <c r="A1" s="3" t="s">
        <v>106</v>
      </c>
      <c r="B1" s="4" t="s">
        <v>7</v>
      </c>
      <c r="C1" s="5" t="s">
        <v>107</v>
      </c>
      <c r="D1" s="6" t="s">
        <v>108</v>
      </c>
      <c r="E1" s="4" t="s">
        <v>109</v>
      </c>
      <c r="F1" s="29"/>
      <c r="G1" s="27" t="s">
        <v>110</v>
      </c>
      <c r="H1" s="27" t="s">
        <v>1</v>
      </c>
      <c r="I1" s="27" t="s">
        <v>6</v>
      </c>
      <c r="J1" s="27" t="s">
        <v>205</v>
      </c>
      <c r="K1" s="27" t="s">
        <v>304</v>
      </c>
      <c r="L1" s="27" t="s">
        <v>206</v>
      </c>
      <c r="M1" s="29" t="s">
        <v>325</v>
      </c>
      <c r="N1" s="158" t="s">
        <v>343</v>
      </c>
      <c r="O1" s="159" t="s">
        <v>346</v>
      </c>
      <c r="P1" s="159" t="s">
        <v>388</v>
      </c>
      <c r="Q1" s="160" t="s">
        <v>378</v>
      </c>
      <c r="R1" s="160" t="s">
        <v>377</v>
      </c>
      <c r="S1" s="160" t="s">
        <v>420</v>
      </c>
      <c r="T1" s="173" t="s">
        <v>425</v>
      </c>
      <c r="U1" s="274" t="s">
        <v>439</v>
      </c>
      <c r="V1" s="204" t="s">
        <v>471</v>
      </c>
      <c r="W1" s="531" t="s">
        <v>106</v>
      </c>
      <c r="X1" s="529" t="s">
        <v>518</v>
      </c>
      <c r="Y1" s="533" t="s">
        <v>564</v>
      </c>
      <c r="Z1" s="532" t="s">
        <v>582</v>
      </c>
      <c r="AA1" s="530" t="s">
        <v>616</v>
      </c>
      <c r="AB1" s="619" t="s">
        <v>653</v>
      </c>
      <c r="AC1" s="660" t="s">
        <v>716</v>
      </c>
      <c r="AD1" s="786" t="s">
        <v>733</v>
      </c>
      <c r="AE1" s="787" t="s">
        <v>767</v>
      </c>
    </row>
    <row r="2" spans="1:33" ht="15" customHeight="1" x14ac:dyDescent="0.25">
      <c r="A2" s="28" t="s">
        <v>111</v>
      </c>
      <c r="B2" s="4">
        <v>1000000</v>
      </c>
      <c r="C2" s="29" t="s">
        <v>112</v>
      </c>
      <c r="D2" s="30">
        <v>107060</v>
      </c>
      <c r="E2" s="30">
        <f>300525+564100</f>
        <v>864625</v>
      </c>
      <c r="F2" s="32">
        <v>564100</v>
      </c>
      <c r="G2" s="30">
        <v>1000000</v>
      </c>
      <c r="H2" s="30">
        <v>689100</v>
      </c>
      <c r="I2" s="30">
        <v>1000000</v>
      </c>
      <c r="J2" s="30">
        <v>742100</v>
      </c>
      <c r="K2" s="30">
        <v>742100</v>
      </c>
      <c r="L2" s="30">
        <v>1000000</v>
      </c>
      <c r="M2" s="76">
        <v>523000</v>
      </c>
      <c r="N2" s="76">
        <v>523000</v>
      </c>
      <c r="O2" s="87">
        <f>L2</f>
        <v>1000000</v>
      </c>
      <c r="P2" s="76">
        <v>523000</v>
      </c>
      <c r="Q2" s="76">
        <f>P2</f>
        <v>523000</v>
      </c>
      <c r="R2" s="76">
        <f>O2</f>
        <v>1000000</v>
      </c>
      <c r="S2" s="76">
        <v>750000</v>
      </c>
      <c r="T2" s="87">
        <v>750000</v>
      </c>
      <c r="U2" s="76">
        <v>651000</v>
      </c>
      <c r="V2" s="201">
        <v>651000</v>
      </c>
      <c r="W2" s="276" t="s">
        <v>111</v>
      </c>
      <c r="X2" s="76">
        <v>1000000</v>
      </c>
      <c r="Y2" s="76">
        <f>-AE22</f>
        <v>0</v>
      </c>
      <c r="Z2" s="29">
        <v>1000000</v>
      </c>
      <c r="AA2" s="76">
        <v>1000000</v>
      </c>
      <c r="AB2" s="76">
        <v>1000000</v>
      </c>
      <c r="AC2" s="617">
        <v>500000</v>
      </c>
      <c r="AD2" s="745">
        <v>300000</v>
      </c>
      <c r="AE2" s="788">
        <v>300000</v>
      </c>
    </row>
    <row r="3" spans="1:33" ht="15" customHeight="1" x14ac:dyDescent="0.25">
      <c r="A3" s="35" t="s">
        <v>113</v>
      </c>
      <c r="B3" s="4"/>
      <c r="C3" s="29"/>
      <c r="D3" s="30"/>
      <c r="E3" s="30"/>
      <c r="F3" s="32"/>
      <c r="G3" s="31">
        <v>30000</v>
      </c>
      <c r="H3" s="31">
        <v>30070</v>
      </c>
      <c r="I3" s="31">
        <v>40000</v>
      </c>
      <c r="J3" s="31">
        <v>40000</v>
      </c>
      <c r="K3" s="31">
        <v>40000</v>
      </c>
      <c r="L3" s="31">
        <v>40000</v>
      </c>
      <c r="M3" s="76">
        <v>40000</v>
      </c>
      <c r="N3" s="76">
        <v>40000</v>
      </c>
      <c r="O3" s="87">
        <f t="shared" ref="O3:O24" si="0">L3</f>
        <v>40000</v>
      </c>
      <c r="P3" s="76">
        <v>40000</v>
      </c>
      <c r="Q3" s="76">
        <f t="shared" ref="Q3:Q24" si="1">P3</f>
        <v>40000</v>
      </c>
      <c r="R3" s="76">
        <f t="shared" ref="R3:R21" si="2">O3</f>
        <v>40000</v>
      </c>
      <c r="S3" s="76">
        <v>50000</v>
      </c>
      <c r="T3" s="87">
        <v>50000</v>
      </c>
      <c r="U3" s="76">
        <v>30000</v>
      </c>
      <c r="V3" s="201">
        <v>30000</v>
      </c>
      <c r="W3" s="276" t="s">
        <v>768</v>
      </c>
      <c r="X3" s="76">
        <v>50000</v>
      </c>
      <c r="Y3" s="76"/>
      <c r="Z3" s="29"/>
      <c r="AA3" s="76"/>
      <c r="AB3" s="76"/>
      <c r="AC3" s="617"/>
      <c r="AD3" s="745"/>
      <c r="AE3" s="875">
        <v>200000</v>
      </c>
    </row>
    <row r="4" spans="1:33" ht="15" customHeight="1" x14ac:dyDescent="0.25">
      <c r="A4" s="35" t="s">
        <v>114</v>
      </c>
      <c r="B4" s="4">
        <f>223700+360000+365000+70000+2187242+4366489</f>
        <v>7572431</v>
      </c>
      <c r="C4" s="29"/>
      <c r="D4" s="30"/>
      <c r="E4" s="30"/>
      <c r="F4" s="32"/>
      <c r="G4" s="31">
        <v>30000</v>
      </c>
      <c r="H4" s="31"/>
      <c r="I4" s="31">
        <v>50000</v>
      </c>
      <c r="J4" s="31"/>
      <c r="K4" s="31"/>
      <c r="L4" s="31">
        <v>50000</v>
      </c>
      <c r="M4" s="76"/>
      <c r="N4" s="76"/>
      <c r="O4" s="87">
        <f t="shared" si="0"/>
        <v>50000</v>
      </c>
      <c r="P4" s="76"/>
      <c r="Q4" s="76">
        <f t="shared" si="1"/>
        <v>0</v>
      </c>
      <c r="R4" s="76">
        <f t="shared" si="2"/>
        <v>50000</v>
      </c>
      <c r="S4" s="76">
        <v>70000</v>
      </c>
      <c r="T4" s="87">
        <v>70000</v>
      </c>
      <c r="U4" s="76"/>
      <c r="V4" s="201"/>
      <c r="W4" s="276" t="s">
        <v>114</v>
      </c>
      <c r="X4" s="76">
        <v>70000</v>
      </c>
      <c r="Y4" s="76"/>
      <c r="Z4" s="29">
        <v>70000</v>
      </c>
      <c r="AA4" s="76">
        <v>70000</v>
      </c>
      <c r="AB4" s="76"/>
      <c r="AC4" s="617"/>
      <c r="AD4" s="745"/>
      <c r="AE4" s="788"/>
    </row>
    <row r="5" spans="1:33" ht="15" customHeight="1" x14ac:dyDescent="0.25">
      <c r="A5" s="35" t="s">
        <v>115</v>
      </c>
      <c r="B5" s="4"/>
      <c r="C5" s="29"/>
      <c r="D5" s="30"/>
      <c r="E5" s="30"/>
      <c r="F5" s="32"/>
      <c r="G5" s="31"/>
      <c r="H5" s="31">
        <v>499310</v>
      </c>
      <c r="I5" s="31">
        <v>300000</v>
      </c>
      <c r="J5" s="31"/>
      <c r="K5" s="31">
        <v>300000</v>
      </c>
      <c r="L5" s="31">
        <v>300000</v>
      </c>
      <c r="M5" s="76">
        <v>180000</v>
      </c>
      <c r="N5" s="76">
        <v>180000</v>
      </c>
      <c r="O5" s="87">
        <f t="shared" si="0"/>
        <v>300000</v>
      </c>
      <c r="P5" s="76">
        <v>180000</v>
      </c>
      <c r="Q5" s="76">
        <v>300000</v>
      </c>
      <c r="R5" s="76">
        <f t="shared" si="2"/>
        <v>300000</v>
      </c>
      <c r="S5" s="76">
        <v>0</v>
      </c>
      <c r="T5" s="87">
        <v>0</v>
      </c>
      <c r="U5" s="76"/>
      <c r="V5" s="201"/>
      <c r="W5" s="276" t="s">
        <v>115</v>
      </c>
      <c r="X5" s="76">
        <v>0</v>
      </c>
      <c r="Y5" s="76"/>
      <c r="Z5" s="29"/>
      <c r="AA5" s="76"/>
      <c r="AB5" s="76"/>
      <c r="AC5" s="617"/>
      <c r="AD5" s="745"/>
      <c r="AE5" s="788"/>
    </row>
    <row r="6" spans="1:33" ht="15" customHeight="1" x14ac:dyDescent="0.25">
      <c r="A6" s="35" t="s">
        <v>116</v>
      </c>
      <c r="B6" s="4"/>
      <c r="C6" s="29"/>
      <c r="D6" s="30"/>
      <c r="E6" s="30"/>
      <c r="F6" s="32"/>
      <c r="G6" s="30">
        <v>1000000</v>
      </c>
      <c r="H6" s="30">
        <v>423670</v>
      </c>
      <c r="I6" s="30">
        <v>500000</v>
      </c>
      <c r="J6" s="30">
        <v>451680</v>
      </c>
      <c r="K6" s="30">
        <v>451680</v>
      </c>
      <c r="L6" s="30">
        <v>500000</v>
      </c>
      <c r="M6" s="76"/>
      <c r="N6" s="76"/>
      <c r="O6" s="87">
        <f t="shared" si="0"/>
        <v>500000</v>
      </c>
      <c r="P6" s="76"/>
      <c r="Q6" s="76">
        <v>298600</v>
      </c>
      <c r="R6" s="76">
        <f t="shared" si="2"/>
        <v>500000</v>
      </c>
      <c r="S6" s="76">
        <v>400000</v>
      </c>
      <c r="T6" s="87">
        <v>400000</v>
      </c>
      <c r="U6" s="76"/>
      <c r="V6" s="201"/>
      <c r="W6" s="276" t="s">
        <v>116</v>
      </c>
      <c r="X6" s="76">
        <v>500000</v>
      </c>
      <c r="Y6" s="76">
        <v>773690</v>
      </c>
      <c r="Z6" s="29">
        <v>600000</v>
      </c>
      <c r="AA6" s="76">
        <v>600000</v>
      </c>
      <c r="AB6" s="76"/>
      <c r="AC6" s="617"/>
      <c r="AD6" s="745"/>
      <c r="AE6" s="788"/>
      <c r="AG6" s="785"/>
    </row>
    <row r="7" spans="1:33" ht="15" customHeight="1" x14ac:dyDescent="0.25">
      <c r="A7" s="35" t="s">
        <v>117</v>
      </c>
      <c r="B7" s="4"/>
      <c r="C7" s="29"/>
      <c r="D7" s="30"/>
      <c r="E7" s="30"/>
      <c r="F7" s="32"/>
      <c r="G7" s="30"/>
      <c r="H7" s="30">
        <v>88900</v>
      </c>
      <c r="I7" s="30">
        <v>600000</v>
      </c>
      <c r="J7" s="30">
        <v>660000</v>
      </c>
      <c r="K7" s="30">
        <v>660000</v>
      </c>
      <c r="L7" s="30">
        <v>600000</v>
      </c>
      <c r="M7" s="76">
        <v>241600</v>
      </c>
      <c r="N7" s="76">
        <v>241600</v>
      </c>
      <c r="O7" s="87">
        <f t="shared" si="0"/>
        <v>600000</v>
      </c>
      <c r="P7" s="76">
        <v>241600</v>
      </c>
      <c r="Q7" s="76">
        <f t="shared" si="1"/>
        <v>241600</v>
      </c>
      <c r="R7" s="76">
        <f t="shared" si="2"/>
        <v>600000</v>
      </c>
      <c r="S7" s="76">
        <v>500000</v>
      </c>
      <c r="T7" s="87">
        <v>500000</v>
      </c>
      <c r="U7" s="76">
        <v>474295</v>
      </c>
      <c r="V7" s="201">
        <v>474295</v>
      </c>
      <c r="W7" s="276" t="s">
        <v>117</v>
      </c>
      <c r="X7" s="76">
        <v>500000</v>
      </c>
      <c r="Y7" s="76"/>
      <c r="Z7" s="29"/>
      <c r="AA7" s="76"/>
      <c r="AB7" s="76"/>
      <c r="AC7" s="617"/>
      <c r="AD7" s="745"/>
      <c r="AE7" s="788"/>
    </row>
    <row r="8" spans="1:33" ht="15" customHeight="1" x14ac:dyDescent="0.25">
      <c r="A8" s="28" t="s">
        <v>118</v>
      </c>
      <c r="B8" s="4">
        <v>150000</v>
      </c>
      <c r="C8" s="29" t="s">
        <v>119</v>
      </c>
      <c r="D8" s="30">
        <v>107060</v>
      </c>
      <c r="E8" s="30"/>
      <c r="F8" s="29"/>
      <c r="G8" s="30"/>
      <c r="H8" s="30"/>
      <c r="I8" s="30">
        <v>150000</v>
      </c>
      <c r="J8" s="30"/>
      <c r="K8" s="30">
        <v>0</v>
      </c>
      <c r="L8" s="30">
        <v>150000</v>
      </c>
      <c r="M8" s="76">
        <f>271134+80000</f>
        <v>351134</v>
      </c>
      <c r="N8" s="76">
        <f>271134+80000</f>
        <v>351134</v>
      </c>
      <c r="O8" s="87">
        <f t="shared" si="0"/>
        <v>150000</v>
      </c>
      <c r="P8" s="76">
        <v>351134</v>
      </c>
      <c r="Q8" s="76">
        <f t="shared" si="1"/>
        <v>351134</v>
      </c>
      <c r="R8" s="76">
        <f t="shared" si="2"/>
        <v>150000</v>
      </c>
      <c r="S8" s="76">
        <v>250000</v>
      </c>
      <c r="T8" s="87">
        <v>250000</v>
      </c>
      <c r="U8" s="76">
        <v>0</v>
      </c>
      <c r="V8" s="201">
        <v>143530</v>
      </c>
      <c r="W8" s="276" t="s">
        <v>118</v>
      </c>
      <c r="X8" s="76">
        <v>250000</v>
      </c>
      <c r="Y8" s="76"/>
      <c r="Z8" s="29">
        <v>250000</v>
      </c>
      <c r="AA8" s="76">
        <v>250000</v>
      </c>
      <c r="AB8" s="76">
        <v>250000</v>
      </c>
      <c r="AC8" s="617">
        <v>250000</v>
      </c>
      <c r="AD8" s="745">
        <v>250000</v>
      </c>
      <c r="AE8" s="788">
        <v>250000</v>
      </c>
    </row>
    <row r="9" spans="1:33" ht="15" customHeight="1" x14ac:dyDescent="0.25">
      <c r="A9" s="28" t="s">
        <v>120</v>
      </c>
      <c r="B9" s="4">
        <v>20000</v>
      </c>
      <c r="C9" s="29" t="s">
        <v>112</v>
      </c>
      <c r="D9" s="30">
        <v>101150</v>
      </c>
      <c r="E9" s="30">
        <v>20000</v>
      </c>
      <c r="F9" s="29"/>
      <c r="G9" s="30"/>
      <c r="H9" s="30"/>
      <c r="I9" s="30">
        <v>250000</v>
      </c>
      <c r="J9" s="30">
        <v>150000</v>
      </c>
      <c r="K9" s="30">
        <v>200000</v>
      </c>
      <c r="L9" s="30">
        <v>250000</v>
      </c>
      <c r="M9" s="76">
        <v>100000</v>
      </c>
      <c r="N9" s="76">
        <v>150000</v>
      </c>
      <c r="O9" s="87">
        <f t="shared" si="0"/>
        <v>250000</v>
      </c>
      <c r="P9" s="76">
        <v>150000</v>
      </c>
      <c r="Q9" s="76">
        <f>P9+50000</f>
        <v>200000</v>
      </c>
      <c r="R9" s="76">
        <f t="shared" si="2"/>
        <v>250000</v>
      </c>
      <c r="S9" s="76">
        <f t="shared" ref="S9:S24" si="3">R9</f>
        <v>250000</v>
      </c>
      <c r="T9" s="87">
        <v>250000</v>
      </c>
      <c r="U9" s="76">
        <v>30000</v>
      </c>
      <c r="V9" s="201">
        <f>70000+30000</f>
        <v>100000</v>
      </c>
      <c r="W9" s="276" t="s">
        <v>120</v>
      </c>
      <c r="X9" s="76">
        <v>250000</v>
      </c>
      <c r="Y9" s="76"/>
      <c r="Z9" s="29">
        <v>250000</v>
      </c>
      <c r="AA9" s="76">
        <v>250000</v>
      </c>
      <c r="AB9" s="76">
        <v>250000</v>
      </c>
      <c r="AC9" s="617">
        <v>350000</v>
      </c>
      <c r="AD9" s="745">
        <v>400000</v>
      </c>
      <c r="AE9" s="788">
        <v>400000</v>
      </c>
    </row>
    <row r="10" spans="1:33" ht="15" customHeight="1" x14ac:dyDescent="0.25">
      <c r="A10" s="28" t="s">
        <v>122</v>
      </c>
      <c r="B10" s="4">
        <v>1150000</v>
      </c>
      <c r="C10" s="29" t="s">
        <v>112</v>
      </c>
      <c r="D10" s="30">
        <v>107060</v>
      </c>
      <c r="E10" s="30">
        <v>1139588</v>
      </c>
      <c r="F10" s="29"/>
      <c r="G10" s="30"/>
      <c r="H10" s="30"/>
      <c r="I10" s="30">
        <v>1500000</v>
      </c>
      <c r="J10" s="30">
        <v>720000</v>
      </c>
      <c r="K10" s="30">
        <v>960000</v>
      </c>
      <c r="L10" s="30">
        <v>1500000</v>
      </c>
      <c r="M10" s="76">
        <v>554000</v>
      </c>
      <c r="N10" s="76">
        <v>634000</v>
      </c>
      <c r="O10" s="87">
        <f t="shared" si="0"/>
        <v>1500000</v>
      </c>
      <c r="P10" s="76">
        <f>N10+40000+80000</f>
        <v>754000</v>
      </c>
      <c r="Q10" s="76">
        <f>P10+20000+80000+220000</f>
        <v>1074000</v>
      </c>
      <c r="R10" s="76">
        <f t="shared" si="2"/>
        <v>1500000</v>
      </c>
      <c r="S10" s="76">
        <f t="shared" si="3"/>
        <v>1500000</v>
      </c>
      <c r="T10" s="87">
        <v>1500000</v>
      </c>
      <c r="U10" s="76">
        <v>335000</v>
      </c>
      <c r="V10" s="76">
        <v>335000</v>
      </c>
      <c r="W10" s="276" t="s">
        <v>122</v>
      </c>
      <c r="X10" s="76">
        <v>1500000</v>
      </c>
      <c r="Y10" s="76">
        <v>480000</v>
      </c>
      <c r="Z10" s="29">
        <v>1000000</v>
      </c>
      <c r="AA10" s="76">
        <v>1000000</v>
      </c>
      <c r="AB10" s="76">
        <v>1500000</v>
      </c>
      <c r="AC10" s="617">
        <v>1500000</v>
      </c>
      <c r="AD10" s="745">
        <v>1500000</v>
      </c>
      <c r="AE10" s="788">
        <v>1500000</v>
      </c>
    </row>
    <row r="11" spans="1:33" ht="15" customHeight="1" x14ac:dyDescent="0.25">
      <c r="A11" s="28" t="s">
        <v>123</v>
      </c>
      <c r="B11" s="4">
        <v>250000</v>
      </c>
      <c r="C11" s="29" t="s">
        <v>112</v>
      </c>
      <c r="D11" s="30">
        <v>107060</v>
      </c>
      <c r="E11" s="30"/>
      <c r="F11" s="29"/>
      <c r="G11" s="30"/>
      <c r="H11" s="30"/>
      <c r="I11" s="30">
        <v>310000</v>
      </c>
      <c r="J11" s="30">
        <v>100000</v>
      </c>
      <c r="K11" s="30">
        <v>100000</v>
      </c>
      <c r="L11" s="30">
        <v>310000</v>
      </c>
      <c r="M11" s="76">
        <v>30000</v>
      </c>
      <c r="N11" s="76">
        <v>30000</v>
      </c>
      <c r="O11" s="87">
        <f t="shared" si="0"/>
        <v>310000</v>
      </c>
      <c r="P11" s="76">
        <f>N11</f>
        <v>30000</v>
      </c>
      <c r="Q11" s="76">
        <f t="shared" si="1"/>
        <v>30000</v>
      </c>
      <c r="R11" s="76">
        <f t="shared" si="2"/>
        <v>310000</v>
      </c>
      <c r="S11" s="76">
        <f t="shared" si="3"/>
        <v>310000</v>
      </c>
      <c r="T11" s="87">
        <v>310000</v>
      </c>
      <c r="U11" s="76">
        <v>200000</v>
      </c>
      <c r="V11" s="201">
        <v>80000</v>
      </c>
      <c r="W11" s="276" t="s">
        <v>123</v>
      </c>
      <c r="X11" s="76">
        <v>310000</v>
      </c>
      <c r="Y11" s="76">
        <v>80000</v>
      </c>
      <c r="Z11" s="29">
        <v>300000</v>
      </c>
      <c r="AA11" s="76">
        <v>300000</v>
      </c>
      <c r="AB11" s="76">
        <v>300000</v>
      </c>
      <c r="AC11" s="617">
        <v>300000</v>
      </c>
      <c r="AD11" s="745"/>
      <c r="AE11" s="788"/>
    </row>
    <row r="12" spans="1:33" ht="15" customHeight="1" x14ac:dyDescent="0.25">
      <c r="A12" s="28" t="s">
        <v>124</v>
      </c>
      <c r="B12" s="4">
        <v>433000</v>
      </c>
      <c r="C12" s="29" t="s">
        <v>112</v>
      </c>
      <c r="D12" s="30">
        <v>107060</v>
      </c>
      <c r="E12" s="30"/>
      <c r="F12" s="29"/>
      <c r="G12" s="30"/>
      <c r="H12" s="30"/>
      <c r="I12" s="30">
        <v>150000</v>
      </c>
      <c r="J12" s="30">
        <v>752400</v>
      </c>
      <c r="K12" s="30">
        <v>889200</v>
      </c>
      <c r="L12" s="30">
        <v>1000000</v>
      </c>
      <c r="M12" s="76">
        <v>524400</v>
      </c>
      <c r="N12" s="76">
        <v>570000</v>
      </c>
      <c r="O12" s="87">
        <f t="shared" si="0"/>
        <v>1000000</v>
      </c>
      <c r="P12" s="76">
        <f>N12+45600</f>
        <v>615600</v>
      </c>
      <c r="Q12" s="76">
        <f>P12+22800</f>
        <v>638400</v>
      </c>
      <c r="R12" s="76">
        <f t="shared" si="2"/>
        <v>1000000</v>
      </c>
      <c r="S12" s="76">
        <f t="shared" si="3"/>
        <v>1000000</v>
      </c>
      <c r="T12" s="87">
        <v>1000000</v>
      </c>
      <c r="U12" s="76">
        <v>319200</v>
      </c>
      <c r="V12" s="201">
        <f>22800+319200</f>
        <v>342000</v>
      </c>
      <c r="W12" s="276" t="s">
        <v>124</v>
      </c>
      <c r="X12" s="76">
        <v>1000000</v>
      </c>
      <c r="Y12" s="76"/>
      <c r="Z12" s="29">
        <v>800000</v>
      </c>
      <c r="AA12" s="76">
        <v>800000</v>
      </c>
      <c r="AB12" s="76">
        <v>800000</v>
      </c>
      <c r="AC12" s="617">
        <v>800000</v>
      </c>
      <c r="AD12" s="745">
        <v>100000</v>
      </c>
      <c r="AE12" s="788"/>
    </row>
    <row r="13" spans="1:33" ht="15" customHeight="1" x14ac:dyDescent="0.25">
      <c r="A13" s="28" t="s">
        <v>125</v>
      </c>
      <c r="B13" s="4">
        <v>150000</v>
      </c>
      <c r="C13" s="29" t="s">
        <v>112</v>
      </c>
      <c r="D13" s="30">
        <v>107060</v>
      </c>
      <c r="E13" s="30">
        <v>47000</v>
      </c>
      <c r="F13" s="29"/>
      <c r="G13" s="30"/>
      <c r="H13" s="30"/>
      <c r="I13" s="30">
        <v>720000</v>
      </c>
      <c r="J13" s="30">
        <v>52000</v>
      </c>
      <c r="K13" s="30">
        <v>80000</v>
      </c>
      <c r="L13" s="30">
        <v>720000</v>
      </c>
      <c r="M13" s="76">
        <f>218831-2590</f>
        <v>216241</v>
      </c>
      <c r="N13" s="76">
        <v>266430</v>
      </c>
      <c r="O13" s="87">
        <f t="shared" si="0"/>
        <v>720000</v>
      </c>
      <c r="P13" s="76">
        <f>N13+49110</f>
        <v>315540</v>
      </c>
      <c r="Q13" s="76">
        <f>P13+49110</f>
        <v>364650</v>
      </c>
      <c r="R13" s="76">
        <f t="shared" si="2"/>
        <v>720000</v>
      </c>
      <c r="S13" s="76">
        <f t="shared" si="3"/>
        <v>720000</v>
      </c>
      <c r="T13" s="87">
        <v>720000</v>
      </c>
      <c r="U13" s="76">
        <v>363657</v>
      </c>
      <c r="V13" s="201">
        <f>34503+363657</f>
        <v>398160</v>
      </c>
      <c r="W13" s="276" t="s">
        <v>125</v>
      </c>
      <c r="X13" s="76">
        <v>720000</v>
      </c>
      <c r="Y13" s="76">
        <v>282147</v>
      </c>
      <c r="Z13" s="29">
        <v>700000</v>
      </c>
      <c r="AA13" s="76">
        <v>700000</v>
      </c>
      <c r="AB13" s="76">
        <v>700000</v>
      </c>
      <c r="AC13" s="617">
        <v>700000</v>
      </c>
      <c r="AD13" s="745">
        <v>700000</v>
      </c>
      <c r="AE13" s="788">
        <v>700000</v>
      </c>
    </row>
    <row r="14" spans="1:33" ht="15" customHeight="1" x14ac:dyDescent="0.25">
      <c r="A14" s="28" t="s">
        <v>126</v>
      </c>
      <c r="B14" s="4">
        <v>130000</v>
      </c>
      <c r="C14" s="29" t="s">
        <v>112</v>
      </c>
      <c r="D14" s="30">
        <v>107060</v>
      </c>
      <c r="E14" s="30"/>
      <c r="F14" s="29"/>
      <c r="G14" s="30"/>
      <c r="H14" s="30"/>
      <c r="I14" s="30">
        <v>1000000</v>
      </c>
      <c r="J14" s="30">
        <v>620600</v>
      </c>
      <c r="K14" s="30">
        <v>797900</v>
      </c>
      <c r="L14" s="30">
        <v>800000</v>
      </c>
      <c r="M14" s="76">
        <v>453800</v>
      </c>
      <c r="N14" s="76">
        <f>M14+45300</f>
        <v>499100</v>
      </c>
      <c r="O14" s="87">
        <f t="shared" si="0"/>
        <v>800000</v>
      </c>
      <c r="P14" s="76">
        <f>N14+101200</f>
        <v>600300</v>
      </c>
      <c r="Q14" s="76">
        <f>P14+56000</f>
        <v>656300</v>
      </c>
      <c r="R14" s="76">
        <f t="shared" si="2"/>
        <v>800000</v>
      </c>
      <c r="S14" s="76">
        <f t="shared" si="3"/>
        <v>800000</v>
      </c>
      <c r="T14" s="87">
        <v>800000</v>
      </c>
      <c r="U14" s="76">
        <v>460700</v>
      </c>
      <c r="V14" s="76">
        <v>460700</v>
      </c>
      <c r="W14" s="276" t="s">
        <v>126</v>
      </c>
      <c r="X14" s="76">
        <v>800000</v>
      </c>
      <c r="Y14" s="76">
        <v>94100</v>
      </c>
      <c r="Z14" s="29">
        <v>500000</v>
      </c>
      <c r="AA14" s="76">
        <v>500000</v>
      </c>
      <c r="AB14" s="76">
        <v>1000000</v>
      </c>
      <c r="AC14" s="617">
        <v>1000000</v>
      </c>
      <c r="AD14" s="745">
        <v>1000000</v>
      </c>
      <c r="AE14" s="788">
        <v>1000000</v>
      </c>
    </row>
    <row r="15" spans="1:33" ht="15" customHeight="1" x14ac:dyDescent="0.25">
      <c r="A15" s="28" t="s">
        <v>121</v>
      </c>
      <c r="B15" s="4"/>
      <c r="C15" s="29"/>
      <c r="D15" s="30"/>
      <c r="E15" s="30"/>
      <c r="F15" s="29"/>
      <c r="G15" s="30">
        <v>600000</v>
      </c>
      <c r="H15" s="30">
        <v>280000</v>
      </c>
      <c r="I15" s="30">
        <v>600000</v>
      </c>
      <c r="J15" s="30">
        <v>665000</v>
      </c>
      <c r="K15" s="30">
        <v>665000</v>
      </c>
      <c r="L15" s="30">
        <v>700000</v>
      </c>
      <c r="M15" s="76">
        <v>210000</v>
      </c>
      <c r="N15" s="76">
        <v>210000</v>
      </c>
      <c r="O15" s="87">
        <f t="shared" si="0"/>
        <v>700000</v>
      </c>
      <c r="P15" s="76">
        <f>N15</f>
        <v>210000</v>
      </c>
      <c r="Q15" s="76">
        <f t="shared" si="1"/>
        <v>210000</v>
      </c>
      <c r="R15" s="76">
        <f t="shared" si="2"/>
        <v>700000</v>
      </c>
      <c r="S15" s="76">
        <v>500000</v>
      </c>
      <c r="T15" s="87">
        <v>500000</v>
      </c>
      <c r="U15" s="76"/>
      <c r="V15" s="201"/>
      <c r="W15" s="276" t="s">
        <v>121</v>
      </c>
      <c r="X15" s="76">
        <v>500000</v>
      </c>
      <c r="Y15" s="76"/>
      <c r="Z15" s="29">
        <v>300000</v>
      </c>
      <c r="AA15" s="76">
        <v>300000</v>
      </c>
      <c r="AB15" s="76"/>
      <c r="AC15" s="695"/>
      <c r="AD15" s="745"/>
      <c r="AE15" s="788"/>
    </row>
    <row r="16" spans="1:33" ht="15" customHeight="1" x14ac:dyDescent="0.25">
      <c r="A16" s="28" t="s">
        <v>127</v>
      </c>
      <c r="B16" s="4"/>
      <c r="C16" s="29"/>
      <c r="D16" s="30"/>
      <c r="E16" s="30"/>
      <c r="F16" s="29"/>
      <c r="G16" s="30">
        <v>700000</v>
      </c>
      <c r="H16" s="30">
        <v>509588</v>
      </c>
      <c r="I16" s="30">
        <v>800000</v>
      </c>
      <c r="J16" s="30">
        <v>485775</v>
      </c>
      <c r="K16" s="30">
        <v>485775</v>
      </c>
      <c r="L16" s="30">
        <v>700000</v>
      </c>
      <c r="M16" s="76"/>
      <c r="N16" s="76"/>
      <c r="O16" s="87">
        <f t="shared" si="0"/>
        <v>700000</v>
      </c>
      <c r="P16" s="76"/>
      <c r="Q16" s="76">
        <v>545148</v>
      </c>
      <c r="R16" s="76">
        <f t="shared" si="2"/>
        <v>700000</v>
      </c>
      <c r="S16" s="76">
        <f t="shared" si="3"/>
        <v>700000</v>
      </c>
      <c r="T16" s="87">
        <v>700000</v>
      </c>
      <c r="U16" s="76"/>
      <c r="V16" s="201"/>
      <c r="W16" s="276" t="s">
        <v>127</v>
      </c>
      <c r="X16" s="76">
        <v>700000</v>
      </c>
      <c r="Y16" s="76">
        <v>454343</v>
      </c>
      <c r="Z16" s="29">
        <v>600000</v>
      </c>
      <c r="AA16" s="135">
        <v>700000</v>
      </c>
      <c r="AB16" s="135">
        <v>700000</v>
      </c>
      <c r="AC16" s="723">
        <v>700000</v>
      </c>
      <c r="AD16" s="745">
        <v>600000</v>
      </c>
      <c r="AE16" s="788">
        <v>600000</v>
      </c>
    </row>
    <row r="17" spans="1:39" ht="15" customHeight="1" x14ac:dyDescent="0.25">
      <c r="A17" s="275" t="s">
        <v>527</v>
      </c>
      <c r="B17" s="4"/>
      <c r="C17" s="29"/>
      <c r="D17" s="30"/>
      <c r="E17" s="30"/>
      <c r="F17" s="29"/>
      <c r="G17" s="30">
        <v>300000</v>
      </c>
      <c r="H17" s="30">
        <v>300000</v>
      </c>
      <c r="I17" s="30">
        <v>400000</v>
      </c>
      <c r="J17" s="30">
        <v>358491</v>
      </c>
      <c r="K17" s="30">
        <v>358491</v>
      </c>
      <c r="L17" s="30">
        <v>400000</v>
      </c>
      <c r="M17" s="76"/>
      <c r="N17" s="76">
        <f>463305+24000</f>
        <v>487305</v>
      </c>
      <c r="O17" s="87">
        <f t="shared" si="0"/>
        <v>400000</v>
      </c>
      <c r="P17" s="76">
        <v>487305</v>
      </c>
      <c r="Q17" s="76">
        <f t="shared" si="1"/>
        <v>487305</v>
      </c>
      <c r="R17" s="76">
        <f t="shared" si="2"/>
        <v>400000</v>
      </c>
      <c r="S17" s="76">
        <v>500000</v>
      </c>
      <c r="T17" s="87">
        <v>500000</v>
      </c>
      <c r="U17" s="76"/>
      <c r="V17" s="201">
        <v>500000</v>
      </c>
      <c r="W17" s="276" t="s">
        <v>523</v>
      </c>
      <c r="X17" s="76">
        <v>600000</v>
      </c>
      <c r="Y17" s="76"/>
      <c r="Z17" s="29">
        <v>600000</v>
      </c>
      <c r="AA17" s="76">
        <v>600000</v>
      </c>
      <c r="AB17" s="76">
        <v>300000</v>
      </c>
      <c r="AC17" s="617">
        <v>400000</v>
      </c>
      <c r="AD17" s="745">
        <v>600000</v>
      </c>
      <c r="AE17" s="875">
        <v>600000</v>
      </c>
    </row>
    <row r="18" spans="1:39" ht="15" customHeight="1" x14ac:dyDescent="0.25">
      <c r="A18" s="28" t="s">
        <v>128</v>
      </c>
      <c r="B18" s="4"/>
      <c r="C18" s="29"/>
      <c r="D18" s="30"/>
      <c r="E18" s="30"/>
      <c r="F18" s="29"/>
      <c r="G18" s="30">
        <v>5000000</v>
      </c>
      <c r="H18" s="30">
        <v>2467321</v>
      </c>
      <c r="I18" s="30">
        <v>4000000</v>
      </c>
      <c r="J18" s="30">
        <v>2628713</v>
      </c>
      <c r="K18" s="30">
        <f>2628713+92485*1.22+750000</f>
        <v>3491544.7</v>
      </c>
      <c r="L18" s="30">
        <v>3000000</v>
      </c>
      <c r="M18" s="76">
        <f>1139464+6636+129145</f>
        <v>1275245</v>
      </c>
      <c r="N18" s="76">
        <v>1275245</v>
      </c>
      <c r="O18" s="87">
        <f t="shared" si="0"/>
        <v>3000000</v>
      </c>
      <c r="P18" s="76">
        <f>N18</f>
        <v>1275245</v>
      </c>
      <c r="Q18" s="76">
        <f>P18+500000</f>
        <v>1775245</v>
      </c>
      <c r="R18" s="76">
        <f t="shared" si="2"/>
        <v>3000000</v>
      </c>
      <c r="S18" s="76">
        <v>2500000</v>
      </c>
      <c r="T18" s="87">
        <v>2500000</v>
      </c>
      <c r="U18" s="76">
        <v>330393</v>
      </c>
      <c r="V18" s="201">
        <f>330393+9436</f>
        <v>339829</v>
      </c>
      <c r="W18" s="276" t="s">
        <v>128</v>
      </c>
      <c r="X18" s="76">
        <v>2500000</v>
      </c>
      <c r="Y18" s="76">
        <v>664000</v>
      </c>
      <c r="Z18" s="29">
        <v>500000</v>
      </c>
      <c r="AA18" s="76">
        <v>500000</v>
      </c>
      <c r="AB18" s="617"/>
      <c r="AC18" s="617"/>
      <c r="AD18" s="745"/>
      <c r="AE18" s="788"/>
      <c r="AG18" s="877" t="s">
        <v>774</v>
      </c>
      <c r="AH18" s="877"/>
      <c r="AI18" s="878"/>
      <c r="AJ18" s="879" t="s">
        <v>798</v>
      </c>
      <c r="AK18" s="879"/>
      <c r="AL18" s="879"/>
    </row>
    <row r="19" spans="1:39" ht="15" customHeight="1" x14ac:dyDescent="0.25">
      <c r="A19" s="28" t="s">
        <v>220</v>
      </c>
      <c r="B19" s="4"/>
      <c r="C19" s="29"/>
      <c r="D19" s="30"/>
      <c r="E19" s="30"/>
      <c r="F19" s="29"/>
      <c r="G19" s="30"/>
      <c r="H19" s="30"/>
      <c r="I19" s="30"/>
      <c r="J19" s="30"/>
      <c r="K19" s="30"/>
      <c r="L19" s="30">
        <v>500000</v>
      </c>
      <c r="M19" s="76">
        <v>400000</v>
      </c>
      <c r="N19" s="76">
        <v>400000</v>
      </c>
      <c r="O19" s="87">
        <f t="shared" si="0"/>
        <v>500000</v>
      </c>
      <c r="P19" s="76">
        <v>400000</v>
      </c>
      <c r="Q19" s="76">
        <f t="shared" si="1"/>
        <v>400000</v>
      </c>
      <c r="R19" s="76">
        <f t="shared" si="2"/>
        <v>500000</v>
      </c>
      <c r="S19" s="76">
        <f t="shared" si="3"/>
        <v>500000</v>
      </c>
      <c r="T19" s="87">
        <v>500000</v>
      </c>
      <c r="U19" s="76">
        <v>500000</v>
      </c>
      <c r="V19" s="201">
        <v>500000</v>
      </c>
      <c r="W19" s="276" t="s">
        <v>524</v>
      </c>
      <c r="X19" s="76">
        <v>500000</v>
      </c>
      <c r="Y19" s="76"/>
      <c r="Z19" s="29">
        <v>300000</v>
      </c>
      <c r="AA19" s="76">
        <v>300000</v>
      </c>
      <c r="AB19" s="617">
        <v>0</v>
      </c>
      <c r="AC19" s="617"/>
      <c r="AD19" s="745"/>
      <c r="AE19" s="788"/>
    </row>
    <row r="20" spans="1:39" ht="15" customHeight="1" x14ac:dyDescent="0.25">
      <c r="A20" s="28" t="s">
        <v>221</v>
      </c>
      <c r="B20" s="4"/>
      <c r="C20" s="29"/>
      <c r="D20" s="30"/>
      <c r="E20" s="30"/>
      <c r="F20" s="29"/>
      <c r="G20" s="30"/>
      <c r="H20" s="30"/>
      <c r="I20" s="30"/>
      <c r="J20" s="30"/>
      <c r="K20" s="30"/>
      <c r="L20" s="30">
        <v>400000</v>
      </c>
      <c r="M20" s="76">
        <f>17140*1.195</f>
        <v>20482.3</v>
      </c>
      <c r="N20" s="76">
        <f>37680*1.195</f>
        <v>45027.600000000006</v>
      </c>
      <c r="O20" s="87">
        <f t="shared" si="0"/>
        <v>400000</v>
      </c>
      <c r="P20" s="76">
        <f>17340*1.195+N20</f>
        <v>65748.900000000009</v>
      </c>
      <c r="Q20" s="76">
        <f>P20+40461*1.195</f>
        <v>114099.79500000001</v>
      </c>
      <c r="R20" s="76">
        <f t="shared" si="2"/>
        <v>400000</v>
      </c>
      <c r="S20" s="76">
        <v>250000</v>
      </c>
      <c r="T20" s="87">
        <v>250000</v>
      </c>
      <c r="U20" s="76"/>
      <c r="V20" s="201"/>
      <c r="W20" s="276" t="s">
        <v>221</v>
      </c>
      <c r="X20" s="76">
        <v>400000</v>
      </c>
      <c r="Y20" s="76"/>
      <c r="Z20" s="29">
        <v>200000</v>
      </c>
      <c r="AA20" s="76">
        <v>200000</v>
      </c>
      <c r="AB20" s="76"/>
      <c r="AC20" s="617">
        <v>400000</v>
      </c>
      <c r="AD20" s="745">
        <v>400000</v>
      </c>
      <c r="AE20" s="875">
        <v>528000</v>
      </c>
      <c r="AG20" s="2" t="s">
        <v>769</v>
      </c>
      <c r="AI20" s="746">
        <v>500000</v>
      </c>
    </row>
    <row r="21" spans="1:39" ht="15" customHeight="1" x14ac:dyDescent="0.25">
      <c r="A21" s="28" t="s">
        <v>222</v>
      </c>
      <c r="B21" s="4"/>
      <c r="C21" s="29"/>
      <c r="D21" s="30"/>
      <c r="E21" s="30"/>
      <c r="F21" s="29"/>
      <c r="G21" s="30"/>
      <c r="H21" s="30"/>
      <c r="I21" s="30"/>
      <c r="J21" s="30"/>
      <c r="K21" s="30"/>
      <c r="L21" s="30">
        <v>200000</v>
      </c>
      <c r="M21" s="29"/>
      <c r="N21" s="76"/>
      <c r="O21" s="87">
        <f t="shared" si="0"/>
        <v>200000</v>
      </c>
      <c r="P21" s="76"/>
      <c r="Q21" s="76">
        <f t="shared" si="1"/>
        <v>0</v>
      </c>
      <c r="R21" s="76">
        <f t="shared" si="2"/>
        <v>200000</v>
      </c>
      <c r="S21" s="76">
        <f t="shared" si="3"/>
        <v>200000</v>
      </c>
      <c r="T21" s="87">
        <v>200000</v>
      </c>
      <c r="U21" s="76"/>
      <c r="V21" s="201"/>
      <c r="W21" s="276" t="s">
        <v>749</v>
      </c>
      <c r="X21" s="76">
        <v>200000</v>
      </c>
      <c r="Y21" s="76"/>
      <c r="Z21" s="29">
        <v>200000</v>
      </c>
      <c r="AA21" s="76">
        <v>200000</v>
      </c>
      <c r="AB21" s="76"/>
      <c r="AC21" s="617"/>
      <c r="AD21" s="745">
        <v>500000</v>
      </c>
      <c r="AE21" s="875">
        <v>500000</v>
      </c>
      <c r="AG21" s="2" t="s">
        <v>770</v>
      </c>
      <c r="AI21" s="746">
        <v>528000</v>
      </c>
    </row>
    <row r="22" spans="1:39" ht="15" customHeight="1" x14ac:dyDescent="0.25">
      <c r="A22" s="131" t="s">
        <v>405</v>
      </c>
      <c r="B22" s="132"/>
      <c r="C22" s="133"/>
      <c r="D22" s="134"/>
      <c r="E22" s="134"/>
      <c r="F22" s="133"/>
      <c r="G22" s="134"/>
      <c r="H22" s="134"/>
      <c r="I22" s="134"/>
      <c r="J22" s="134"/>
      <c r="K22" s="134"/>
      <c r="L22" s="134">
        <v>0</v>
      </c>
      <c r="M22" s="133"/>
      <c r="N22" s="135"/>
      <c r="O22" s="136">
        <f t="shared" si="0"/>
        <v>0</v>
      </c>
      <c r="P22" s="135"/>
      <c r="Q22" s="135">
        <v>0</v>
      </c>
      <c r="R22" s="135">
        <v>600000</v>
      </c>
      <c r="S22" s="135">
        <v>500000</v>
      </c>
      <c r="T22" s="136">
        <v>500000</v>
      </c>
      <c r="U22" s="76"/>
      <c r="V22" s="201"/>
      <c r="W22" s="276" t="s">
        <v>405</v>
      </c>
      <c r="X22" s="76">
        <v>1000000</v>
      </c>
      <c r="Y22" s="76"/>
      <c r="Z22" s="29"/>
      <c r="AA22" s="76"/>
      <c r="AB22" s="617"/>
      <c r="AC22" s="617"/>
      <c r="AD22" s="745"/>
      <c r="AE22" s="788"/>
      <c r="AG22" s="2" t="s">
        <v>771</v>
      </c>
      <c r="AI22" s="746">
        <v>600000</v>
      </c>
    </row>
    <row r="23" spans="1:39" ht="15" customHeight="1" x14ac:dyDescent="0.25">
      <c r="A23" s="131" t="s">
        <v>406</v>
      </c>
      <c r="B23" s="132"/>
      <c r="C23" s="133"/>
      <c r="D23" s="134"/>
      <c r="E23" s="134"/>
      <c r="F23" s="133"/>
      <c r="G23" s="134"/>
      <c r="H23" s="134"/>
      <c r="I23" s="134"/>
      <c r="J23" s="134"/>
      <c r="K23" s="134"/>
      <c r="L23" s="134">
        <v>0</v>
      </c>
      <c r="M23" s="133"/>
      <c r="N23" s="135"/>
      <c r="O23" s="136">
        <f t="shared" si="0"/>
        <v>0</v>
      </c>
      <c r="P23" s="135"/>
      <c r="Q23" s="135">
        <v>0</v>
      </c>
      <c r="R23" s="135">
        <v>600000</v>
      </c>
      <c r="S23" s="135">
        <v>500000</v>
      </c>
      <c r="T23" s="136">
        <v>500000</v>
      </c>
      <c r="U23" s="76">
        <f>144670+204600/0.66*1.195</f>
        <v>515120</v>
      </c>
      <c r="V23" s="201">
        <f>144670+204600/0.66*1.195</f>
        <v>515120</v>
      </c>
      <c r="W23" s="276" t="s">
        <v>406</v>
      </c>
      <c r="X23" s="76">
        <v>0</v>
      </c>
      <c r="Y23" s="76"/>
      <c r="Z23" s="29"/>
      <c r="AA23" s="76"/>
      <c r="AB23" s="617"/>
      <c r="AC23" s="617"/>
      <c r="AD23" s="745"/>
      <c r="AE23" s="788"/>
      <c r="AG23" s="2" t="s">
        <v>772</v>
      </c>
      <c r="AI23" s="746">
        <v>600000</v>
      </c>
    </row>
    <row r="24" spans="1:39" ht="15" customHeight="1" x14ac:dyDescent="0.25">
      <c r="A24" s="131" t="s">
        <v>404</v>
      </c>
      <c r="B24" s="132">
        <v>1000000</v>
      </c>
      <c r="C24" s="133" t="s">
        <v>112</v>
      </c>
      <c r="D24" s="134">
        <v>107060</v>
      </c>
      <c r="E24" s="134">
        <v>451900</v>
      </c>
      <c r="F24" s="137" t="s">
        <v>129</v>
      </c>
      <c r="G24" s="134">
        <v>4000000</v>
      </c>
      <c r="H24" s="134">
        <v>3203400</v>
      </c>
      <c r="I24" s="134">
        <v>0</v>
      </c>
      <c r="J24" s="134"/>
      <c r="K24" s="134"/>
      <c r="L24" s="134">
        <v>0</v>
      </c>
      <c r="M24" s="133"/>
      <c r="N24" s="135"/>
      <c r="O24" s="136">
        <f t="shared" si="0"/>
        <v>0</v>
      </c>
      <c r="P24" s="135"/>
      <c r="Q24" s="135">
        <f t="shared" si="1"/>
        <v>0</v>
      </c>
      <c r="R24" s="135">
        <v>4000000</v>
      </c>
      <c r="S24" s="135">
        <f t="shared" si="3"/>
        <v>4000000</v>
      </c>
      <c r="T24" s="136">
        <v>4000000</v>
      </c>
      <c r="U24" s="76">
        <f>SUM(U2:U23)</f>
        <v>4209365</v>
      </c>
      <c r="V24" s="201">
        <f>SUM(V2:V23)</f>
        <v>4869634</v>
      </c>
      <c r="W24" s="276" t="s">
        <v>748</v>
      </c>
      <c r="X24" s="135"/>
      <c r="Y24" s="76"/>
      <c r="Z24" s="29"/>
      <c r="AA24" s="76"/>
      <c r="AB24" s="617"/>
      <c r="AC24" s="617"/>
      <c r="AD24" s="745">
        <v>300000</v>
      </c>
      <c r="AE24" s="788"/>
      <c r="AG24" s="2" t="s">
        <v>773</v>
      </c>
      <c r="AI24" s="746">
        <v>200000</v>
      </c>
    </row>
    <row r="25" spans="1:39" ht="15" customHeight="1" x14ac:dyDescent="0.25">
      <c r="A25" s="33"/>
      <c r="B25" s="34">
        <f>SUM(B2:B24)</f>
        <v>11855431</v>
      </c>
      <c r="E25" s="34">
        <f t="shared" ref="E25:V25" si="4">SUM(E2:E24)</f>
        <v>2523113</v>
      </c>
      <c r="F25" s="34">
        <f t="shared" si="4"/>
        <v>564100</v>
      </c>
      <c r="G25" s="34">
        <f t="shared" si="4"/>
        <v>12660000</v>
      </c>
      <c r="H25" s="34">
        <f t="shared" si="4"/>
        <v>8491359</v>
      </c>
      <c r="I25" s="34">
        <f t="shared" si="4"/>
        <v>12370000</v>
      </c>
      <c r="J25" s="34">
        <f t="shared" si="4"/>
        <v>8426759</v>
      </c>
      <c r="K25" s="34">
        <f t="shared" si="4"/>
        <v>10221690.699999999</v>
      </c>
      <c r="L25" s="34">
        <f t="shared" si="4"/>
        <v>13120000</v>
      </c>
      <c r="M25" s="34">
        <f t="shared" si="4"/>
        <v>5119902.3</v>
      </c>
      <c r="N25" s="34">
        <f t="shared" si="4"/>
        <v>5902841.5999999996</v>
      </c>
      <c r="O25" s="34">
        <f t="shared" si="4"/>
        <v>13120000</v>
      </c>
      <c r="P25" s="34">
        <f t="shared" si="4"/>
        <v>6239472.9000000004</v>
      </c>
      <c r="Q25" s="34">
        <f t="shared" si="4"/>
        <v>8249481.7949999999</v>
      </c>
      <c r="R25" s="34">
        <f t="shared" si="4"/>
        <v>18320000</v>
      </c>
      <c r="S25" s="34">
        <f t="shared" si="4"/>
        <v>16750000</v>
      </c>
      <c r="T25" s="34">
        <f t="shared" si="4"/>
        <v>16750000</v>
      </c>
      <c r="U25" s="34">
        <f t="shared" si="4"/>
        <v>8418730</v>
      </c>
      <c r="V25" s="203">
        <f t="shared" si="4"/>
        <v>9739268</v>
      </c>
      <c r="W25" s="534" t="s">
        <v>618</v>
      </c>
      <c r="X25" s="76">
        <v>1500000</v>
      </c>
      <c r="Y25" s="76">
        <v>354082</v>
      </c>
      <c r="Z25" s="29">
        <v>300000</v>
      </c>
      <c r="AA25" s="135">
        <v>100000</v>
      </c>
      <c r="AB25" s="617">
        <v>0</v>
      </c>
      <c r="AC25" s="617">
        <v>50000</v>
      </c>
      <c r="AD25" s="745">
        <v>50000</v>
      </c>
      <c r="AE25" s="788">
        <v>50000</v>
      </c>
      <c r="AI25" s="791">
        <v>2428000</v>
      </c>
    </row>
    <row r="26" spans="1:39" ht="12.75" customHeight="1" x14ac:dyDescent="0.25">
      <c r="C26" s="7"/>
      <c r="W26" s="534" t="s">
        <v>617</v>
      </c>
      <c r="X26" s="76">
        <v>260000</v>
      </c>
      <c r="Y26" s="76"/>
      <c r="Z26" s="29">
        <v>260000</v>
      </c>
      <c r="AA26" s="135">
        <v>500000</v>
      </c>
      <c r="AB26" s="617">
        <v>0</v>
      </c>
      <c r="AC26" s="617"/>
      <c r="AD26" s="745"/>
      <c r="AE26" s="788"/>
    </row>
    <row r="27" spans="1:39" ht="16.5" customHeight="1" x14ac:dyDescent="0.25">
      <c r="C27" s="7"/>
      <c r="M27" s="77"/>
      <c r="W27" s="535" t="s">
        <v>525</v>
      </c>
      <c r="X27" s="320">
        <f>SUM(X2:X26)</f>
        <v>15110000</v>
      </c>
      <c r="Y27" s="320">
        <f>SUM(Y2:Y26)</f>
        <v>3182362</v>
      </c>
      <c r="Z27" s="320">
        <f>SUM(Z2:Z26)</f>
        <v>8730000</v>
      </c>
      <c r="AA27" s="76">
        <v>300000</v>
      </c>
      <c r="AB27" s="617">
        <v>0</v>
      </c>
      <c r="AC27" s="617"/>
      <c r="AD27" s="745"/>
      <c r="AE27" s="788"/>
      <c r="AG27" s="879" t="s">
        <v>799</v>
      </c>
      <c r="AH27" s="879"/>
      <c r="AI27" s="880"/>
      <c r="AJ27" s="879"/>
      <c r="AK27" s="879"/>
      <c r="AL27" s="879"/>
      <c r="AM27" s="879"/>
    </row>
    <row r="28" spans="1:39" ht="12.75" customHeight="1" x14ac:dyDescent="0.25">
      <c r="W28" s="276" t="s">
        <v>526</v>
      </c>
      <c r="AA28" s="76">
        <v>260000</v>
      </c>
      <c r="AB28" s="76">
        <v>260000</v>
      </c>
      <c r="AC28" s="617">
        <v>300000</v>
      </c>
      <c r="AD28" s="745">
        <v>300000</v>
      </c>
      <c r="AE28" s="875">
        <v>500000</v>
      </c>
    </row>
    <row r="29" spans="1:39" ht="23.25" customHeight="1" thickBot="1" x14ac:dyDescent="0.3">
      <c r="M29" s="77"/>
      <c r="Z29" s="699">
        <v>4094360</v>
      </c>
      <c r="AA29" s="700">
        <f>SUM(AA2:AA28)</f>
        <v>9430000</v>
      </c>
      <c r="AB29" s="700">
        <f>SUM(AB2:AB28)</f>
        <v>7060000</v>
      </c>
      <c r="AC29" s="708">
        <f>SUM(AC2:AC28)</f>
        <v>7250000</v>
      </c>
      <c r="AD29" s="746">
        <v>6400000</v>
      </c>
      <c r="AE29" s="790">
        <v>6628000</v>
      </c>
    </row>
    <row r="30" spans="1:39" ht="23.25" customHeight="1" x14ac:dyDescent="0.25">
      <c r="Z30" s="701" t="s">
        <v>633</v>
      </c>
      <c r="AA30" s="701"/>
      <c r="AB30" s="702">
        <v>1924437</v>
      </c>
    </row>
    <row r="31" spans="1:39" ht="12.75" customHeight="1" x14ac:dyDescent="0.2">
      <c r="Z31" s="701"/>
      <c r="AA31" s="703" t="s">
        <v>643</v>
      </c>
      <c r="AB31" s="704" t="s">
        <v>721</v>
      </c>
      <c r="AC31" s="43"/>
    </row>
    <row r="32" spans="1:39" ht="12.75" customHeight="1" thickBot="1" x14ac:dyDescent="0.25">
      <c r="Z32" s="701"/>
      <c r="AA32" s="705" t="s">
        <v>644</v>
      </c>
      <c r="AB32" s="706"/>
      <c r="AC32" s="43"/>
    </row>
    <row r="33" spans="26:28" ht="12.75" customHeight="1" x14ac:dyDescent="0.25">
      <c r="Z33" s="701"/>
      <c r="AA33" s="701"/>
      <c r="AB33" s="707"/>
    </row>
    <row r="34" spans="26:28" ht="12.75" customHeight="1" x14ac:dyDescent="0.25">
      <c r="Z34" s="701"/>
      <c r="AA34" s="701"/>
      <c r="AB34" s="707"/>
    </row>
  </sheetData>
  <phoneticPr fontId="48" type="noConversion"/>
  <printOptions horizontalCentered="1" gridLines="1"/>
  <pageMargins left="0.51181102362204722" right="0.19685039370078741" top="1.1811023622047245" bottom="0.98425196850393704" header="0.51181102362204722" footer="0.35433070866141736"/>
  <pageSetup paperSize="9" scale="80" orientation="landscape" r:id="rId1"/>
  <headerFooter alignWithMargins="0">
    <oddHeader xml:space="preserve">&amp;C&amp;"Times New Roman,Félkövér"Ellátottak  pénzbeli juttatásai
2016. év&amp;R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C145"/>
  <sheetViews>
    <sheetView topLeftCell="A19" zoomScale="175" zoomScaleNormal="175" zoomScaleSheetLayoutView="100" workbookViewId="0">
      <selection activeCell="Y25" sqref="Y25"/>
    </sheetView>
  </sheetViews>
  <sheetFormatPr defaultRowHeight="11.25" x14ac:dyDescent="0.2"/>
  <cols>
    <col min="1" max="1" width="36.42578125" style="42" customWidth="1"/>
    <col min="2" max="2" width="14.28515625" style="43" hidden="1" customWidth="1"/>
    <col min="3" max="3" width="12" style="44" hidden="1" customWidth="1"/>
    <col min="4" max="7" width="12.28515625" style="43" hidden="1" customWidth="1"/>
    <col min="8" max="8" width="14" style="51" hidden="1" customWidth="1"/>
    <col min="9" max="9" width="9.140625" style="43" hidden="1" customWidth="1"/>
    <col min="10" max="10" width="15.140625" style="51" hidden="1" customWidth="1"/>
    <col min="11" max="11" width="13.140625" style="43" hidden="1" customWidth="1"/>
    <col min="12" max="13" width="15.7109375" style="43" hidden="1" customWidth="1"/>
    <col min="14" max="14" width="18.140625" style="43" hidden="1" customWidth="1"/>
    <col min="15" max="15" width="16.42578125" style="164" hidden="1" customWidth="1"/>
    <col min="16" max="16" width="20.85546875" style="43" hidden="1" customWidth="1"/>
    <col min="17" max="17" width="13.7109375" style="51" hidden="1" customWidth="1"/>
    <col min="18" max="18" width="13.28515625" style="51" hidden="1" customWidth="1"/>
    <col min="19" max="19" width="12.5703125" style="51" hidden="1" customWidth="1"/>
    <col min="20" max="20" width="13.42578125" style="43" hidden="1" customWidth="1"/>
    <col min="21" max="21" width="13.28515625" style="51" hidden="1" customWidth="1"/>
    <col min="22" max="22" width="13.140625" style="616" hidden="1" customWidth="1"/>
    <col min="23" max="23" width="17.28515625" style="43" customWidth="1"/>
    <col min="24" max="24" width="18.42578125" style="757" customWidth="1"/>
    <col min="25" max="25" width="14.140625" style="757" customWidth="1"/>
    <col min="26" max="254" width="9.140625" style="43"/>
    <col min="255" max="255" width="36.42578125" style="43" customWidth="1"/>
    <col min="256" max="256" width="9.140625" style="43"/>
    <col min="257" max="257" width="14.28515625" style="43" bestFit="1" customWidth="1"/>
    <col min="258" max="258" width="8.5703125" style="43" bestFit="1" customWidth="1"/>
    <col min="259" max="259" width="12" style="43" customWidth="1"/>
    <col min="260" max="262" width="12.28515625" style="43" customWidth="1"/>
    <col min="263" max="263" width="14" style="43" bestFit="1" customWidth="1"/>
    <col min="264" max="510" width="9.140625" style="43"/>
    <col min="511" max="511" width="36.42578125" style="43" customWidth="1"/>
    <col min="512" max="512" width="9.140625" style="43"/>
    <col min="513" max="513" width="14.28515625" style="43" bestFit="1" customWidth="1"/>
    <col min="514" max="514" width="8.5703125" style="43" bestFit="1" customWidth="1"/>
    <col min="515" max="515" width="12" style="43" customWidth="1"/>
    <col min="516" max="518" width="12.28515625" style="43" customWidth="1"/>
    <col min="519" max="519" width="14" style="43" bestFit="1" customWidth="1"/>
    <col min="520" max="766" width="9.140625" style="43"/>
    <col min="767" max="767" width="36.42578125" style="43" customWidth="1"/>
    <col min="768" max="768" width="9.140625" style="43"/>
    <col min="769" max="769" width="14.28515625" style="43" bestFit="1" customWidth="1"/>
    <col min="770" max="770" width="8.5703125" style="43" bestFit="1" customWidth="1"/>
    <col min="771" max="771" width="12" style="43" customWidth="1"/>
    <col min="772" max="774" width="12.28515625" style="43" customWidth="1"/>
    <col min="775" max="775" width="14" style="43" bestFit="1" customWidth="1"/>
    <col min="776" max="1022" width="9.140625" style="43"/>
    <col min="1023" max="1023" width="36.42578125" style="43" customWidth="1"/>
    <col min="1024" max="1024" width="9.140625" style="43"/>
    <col min="1025" max="1025" width="14.28515625" style="43" bestFit="1" customWidth="1"/>
    <col min="1026" max="1026" width="8.5703125" style="43" bestFit="1" customWidth="1"/>
    <col min="1027" max="1027" width="12" style="43" customWidth="1"/>
    <col min="1028" max="1030" width="12.28515625" style="43" customWidth="1"/>
    <col min="1031" max="1031" width="14" style="43" bestFit="1" customWidth="1"/>
    <col min="1032" max="1278" width="9.140625" style="43"/>
    <col min="1279" max="1279" width="36.42578125" style="43" customWidth="1"/>
    <col min="1280" max="1280" width="9.140625" style="43"/>
    <col min="1281" max="1281" width="14.28515625" style="43" bestFit="1" customWidth="1"/>
    <col min="1282" max="1282" width="8.5703125" style="43" bestFit="1" customWidth="1"/>
    <col min="1283" max="1283" width="12" style="43" customWidth="1"/>
    <col min="1284" max="1286" width="12.28515625" style="43" customWidth="1"/>
    <col min="1287" max="1287" width="14" style="43" bestFit="1" customWidth="1"/>
    <col min="1288" max="1534" width="9.140625" style="43"/>
    <col min="1535" max="1535" width="36.42578125" style="43" customWidth="1"/>
    <col min="1536" max="1536" width="9.140625" style="43"/>
    <col min="1537" max="1537" width="14.28515625" style="43" bestFit="1" customWidth="1"/>
    <col min="1538" max="1538" width="8.5703125" style="43" bestFit="1" customWidth="1"/>
    <col min="1539" max="1539" width="12" style="43" customWidth="1"/>
    <col min="1540" max="1542" width="12.28515625" style="43" customWidth="1"/>
    <col min="1543" max="1543" width="14" style="43" bestFit="1" customWidth="1"/>
    <col min="1544" max="1790" width="9.140625" style="43"/>
    <col min="1791" max="1791" width="36.42578125" style="43" customWidth="1"/>
    <col min="1792" max="1792" width="9.140625" style="43"/>
    <col min="1793" max="1793" width="14.28515625" style="43" bestFit="1" customWidth="1"/>
    <col min="1794" max="1794" width="8.5703125" style="43" bestFit="1" customWidth="1"/>
    <col min="1795" max="1795" width="12" style="43" customWidth="1"/>
    <col min="1796" max="1798" width="12.28515625" style="43" customWidth="1"/>
    <col min="1799" max="1799" width="14" style="43" bestFit="1" customWidth="1"/>
    <col min="1800" max="2046" width="9.140625" style="43"/>
    <col min="2047" max="2047" width="36.42578125" style="43" customWidth="1"/>
    <col min="2048" max="2048" width="9.140625" style="43"/>
    <col min="2049" max="2049" width="14.28515625" style="43" bestFit="1" customWidth="1"/>
    <col min="2050" max="2050" width="8.5703125" style="43" bestFit="1" customWidth="1"/>
    <col min="2051" max="2051" width="12" style="43" customWidth="1"/>
    <col min="2052" max="2054" width="12.28515625" style="43" customWidth="1"/>
    <col min="2055" max="2055" width="14" style="43" bestFit="1" customWidth="1"/>
    <col min="2056" max="2302" width="9.140625" style="43"/>
    <col min="2303" max="2303" width="36.42578125" style="43" customWidth="1"/>
    <col min="2304" max="2304" width="9.140625" style="43"/>
    <col min="2305" max="2305" width="14.28515625" style="43" bestFit="1" customWidth="1"/>
    <col min="2306" max="2306" width="8.5703125" style="43" bestFit="1" customWidth="1"/>
    <col min="2307" max="2307" width="12" style="43" customWidth="1"/>
    <col min="2308" max="2310" width="12.28515625" style="43" customWidth="1"/>
    <col min="2311" max="2311" width="14" style="43" bestFit="1" customWidth="1"/>
    <col min="2312" max="2558" width="9.140625" style="43"/>
    <col min="2559" max="2559" width="36.42578125" style="43" customWidth="1"/>
    <col min="2560" max="2560" width="9.140625" style="43"/>
    <col min="2561" max="2561" width="14.28515625" style="43" bestFit="1" customWidth="1"/>
    <col min="2562" max="2562" width="8.5703125" style="43" bestFit="1" customWidth="1"/>
    <col min="2563" max="2563" width="12" style="43" customWidth="1"/>
    <col min="2564" max="2566" width="12.28515625" style="43" customWidth="1"/>
    <col min="2567" max="2567" width="14" style="43" bestFit="1" customWidth="1"/>
    <col min="2568" max="2814" width="9.140625" style="43"/>
    <col min="2815" max="2815" width="36.42578125" style="43" customWidth="1"/>
    <col min="2816" max="2816" width="9.140625" style="43"/>
    <col min="2817" max="2817" width="14.28515625" style="43" bestFit="1" customWidth="1"/>
    <col min="2818" max="2818" width="8.5703125" style="43" bestFit="1" customWidth="1"/>
    <col min="2819" max="2819" width="12" style="43" customWidth="1"/>
    <col min="2820" max="2822" width="12.28515625" style="43" customWidth="1"/>
    <col min="2823" max="2823" width="14" style="43" bestFit="1" customWidth="1"/>
    <col min="2824" max="3070" width="9.140625" style="43"/>
    <col min="3071" max="3071" width="36.42578125" style="43" customWidth="1"/>
    <col min="3072" max="3072" width="9.140625" style="43"/>
    <col min="3073" max="3073" width="14.28515625" style="43" bestFit="1" customWidth="1"/>
    <col min="3074" max="3074" width="8.5703125" style="43" bestFit="1" customWidth="1"/>
    <col min="3075" max="3075" width="12" style="43" customWidth="1"/>
    <col min="3076" max="3078" width="12.28515625" style="43" customWidth="1"/>
    <col min="3079" max="3079" width="14" style="43" bestFit="1" customWidth="1"/>
    <col min="3080" max="3326" width="9.140625" style="43"/>
    <col min="3327" max="3327" width="36.42578125" style="43" customWidth="1"/>
    <col min="3328" max="3328" width="9.140625" style="43"/>
    <col min="3329" max="3329" width="14.28515625" style="43" bestFit="1" customWidth="1"/>
    <col min="3330" max="3330" width="8.5703125" style="43" bestFit="1" customWidth="1"/>
    <col min="3331" max="3331" width="12" style="43" customWidth="1"/>
    <col min="3332" max="3334" width="12.28515625" style="43" customWidth="1"/>
    <col min="3335" max="3335" width="14" style="43" bestFit="1" customWidth="1"/>
    <col min="3336" max="3582" width="9.140625" style="43"/>
    <col min="3583" max="3583" width="36.42578125" style="43" customWidth="1"/>
    <col min="3584" max="3584" width="9.140625" style="43"/>
    <col min="3585" max="3585" width="14.28515625" style="43" bestFit="1" customWidth="1"/>
    <col min="3586" max="3586" width="8.5703125" style="43" bestFit="1" customWidth="1"/>
    <col min="3587" max="3587" width="12" style="43" customWidth="1"/>
    <col min="3588" max="3590" width="12.28515625" style="43" customWidth="1"/>
    <col min="3591" max="3591" width="14" style="43" bestFit="1" customWidth="1"/>
    <col min="3592" max="3838" width="9.140625" style="43"/>
    <col min="3839" max="3839" width="36.42578125" style="43" customWidth="1"/>
    <col min="3840" max="3840" width="9.140625" style="43"/>
    <col min="3841" max="3841" width="14.28515625" style="43" bestFit="1" customWidth="1"/>
    <col min="3842" max="3842" width="8.5703125" style="43" bestFit="1" customWidth="1"/>
    <col min="3843" max="3843" width="12" style="43" customWidth="1"/>
    <col min="3844" max="3846" width="12.28515625" style="43" customWidth="1"/>
    <col min="3847" max="3847" width="14" style="43" bestFit="1" customWidth="1"/>
    <col min="3848" max="4094" width="9.140625" style="43"/>
    <col min="4095" max="4095" width="36.42578125" style="43" customWidth="1"/>
    <col min="4096" max="4096" width="9.140625" style="43"/>
    <col min="4097" max="4097" width="14.28515625" style="43" bestFit="1" customWidth="1"/>
    <col min="4098" max="4098" width="8.5703125" style="43" bestFit="1" customWidth="1"/>
    <col min="4099" max="4099" width="12" style="43" customWidth="1"/>
    <col min="4100" max="4102" width="12.28515625" style="43" customWidth="1"/>
    <col min="4103" max="4103" width="14" style="43" bestFit="1" customWidth="1"/>
    <col min="4104" max="4350" width="9.140625" style="43"/>
    <col min="4351" max="4351" width="36.42578125" style="43" customWidth="1"/>
    <col min="4352" max="4352" width="9.140625" style="43"/>
    <col min="4353" max="4353" width="14.28515625" style="43" bestFit="1" customWidth="1"/>
    <col min="4354" max="4354" width="8.5703125" style="43" bestFit="1" customWidth="1"/>
    <col min="4355" max="4355" width="12" style="43" customWidth="1"/>
    <col min="4356" max="4358" width="12.28515625" style="43" customWidth="1"/>
    <col min="4359" max="4359" width="14" style="43" bestFit="1" customWidth="1"/>
    <col min="4360" max="4606" width="9.140625" style="43"/>
    <col min="4607" max="4607" width="36.42578125" style="43" customWidth="1"/>
    <col min="4608" max="4608" width="9.140625" style="43"/>
    <col min="4609" max="4609" width="14.28515625" style="43" bestFit="1" customWidth="1"/>
    <col min="4610" max="4610" width="8.5703125" style="43" bestFit="1" customWidth="1"/>
    <col min="4611" max="4611" width="12" style="43" customWidth="1"/>
    <col min="4612" max="4614" width="12.28515625" style="43" customWidth="1"/>
    <col min="4615" max="4615" width="14" style="43" bestFit="1" customWidth="1"/>
    <col min="4616" max="4862" width="9.140625" style="43"/>
    <col min="4863" max="4863" width="36.42578125" style="43" customWidth="1"/>
    <col min="4864" max="4864" width="9.140625" style="43"/>
    <col min="4865" max="4865" width="14.28515625" style="43" bestFit="1" customWidth="1"/>
    <col min="4866" max="4866" width="8.5703125" style="43" bestFit="1" customWidth="1"/>
    <col min="4867" max="4867" width="12" style="43" customWidth="1"/>
    <col min="4868" max="4870" width="12.28515625" style="43" customWidth="1"/>
    <col min="4871" max="4871" width="14" style="43" bestFit="1" customWidth="1"/>
    <col min="4872" max="5118" width="9.140625" style="43"/>
    <col min="5119" max="5119" width="36.42578125" style="43" customWidth="1"/>
    <col min="5120" max="5120" width="9.140625" style="43"/>
    <col min="5121" max="5121" width="14.28515625" style="43" bestFit="1" customWidth="1"/>
    <col min="5122" max="5122" width="8.5703125" style="43" bestFit="1" customWidth="1"/>
    <col min="5123" max="5123" width="12" style="43" customWidth="1"/>
    <col min="5124" max="5126" width="12.28515625" style="43" customWidth="1"/>
    <col min="5127" max="5127" width="14" style="43" bestFit="1" customWidth="1"/>
    <col min="5128" max="5374" width="9.140625" style="43"/>
    <col min="5375" max="5375" width="36.42578125" style="43" customWidth="1"/>
    <col min="5376" max="5376" width="9.140625" style="43"/>
    <col min="5377" max="5377" width="14.28515625" style="43" bestFit="1" customWidth="1"/>
    <col min="5378" max="5378" width="8.5703125" style="43" bestFit="1" customWidth="1"/>
    <col min="5379" max="5379" width="12" style="43" customWidth="1"/>
    <col min="5380" max="5382" width="12.28515625" style="43" customWidth="1"/>
    <col min="5383" max="5383" width="14" style="43" bestFit="1" customWidth="1"/>
    <col min="5384" max="5630" width="9.140625" style="43"/>
    <col min="5631" max="5631" width="36.42578125" style="43" customWidth="1"/>
    <col min="5632" max="5632" width="9.140625" style="43"/>
    <col min="5633" max="5633" width="14.28515625" style="43" bestFit="1" customWidth="1"/>
    <col min="5634" max="5634" width="8.5703125" style="43" bestFit="1" customWidth="1"/>
    <col min="5635" max="5635" width="12" style="43" customWidth="1"/>
    <col min="5636" max="5638" width="12.28515625" style="43" customWidth="1"/>
    <col min="5639" max="5639" width="14" style="43" bestFit="1" customWidth="1"/>
    <col min="5640" max="5886" width="9.140625" style="43"/>
    <col min="5887" max="5887" width="36.42578125" style="43" customWidth="1"/>
    <col min="5888" max="5888" width="9.140625" style="43"/>
    <col min="5889" max="5889" width="14.28515625" style="43" bestFit="1" customWidth="1"/>
    <col min="5890" max="5890" width="8.5703125" style="43" bestFit="1" customWidth="1"/>
    <col min="5891" max="5891" width="12" style="43" customWidth="1"/>
    <col min="5892" max="5894" width="12.28515625" style="43" customWidth="1"/>
    <col min="5895" max="5895" width="14" style="43" bestFit="1" customWidth="1"/>
    <col min="5896" max="6142" width="9.140625" style="43"/>
    <col min="6143" max="6143" width="36.42578125" style="43" customWidth="1"/>
    <col min="6144" max="6144" width="9.140625" style="43"/>
    <col min="6145" max="6145" width="14.28515625" style="43" bestFit="1" customWidth="1"/>
    <col min="6146" max="6146" width="8.5703125" style="43" bestFit="1" customWidth="1"/>
    <col min="6147" max="6147" width="12" style="43" customWidth="1"/>
    <col min="6148" max="6150" width="12.28515625" style="43" customWidth="1"/>
    <col min="6151" max="6151" width="14" style="43" bestFit="1" customWidth="1"/>
    <col min="6152" max="6398" width="9.140625" style="43"/>
    <col min="6399" max="6399" width="36.42578125" style="43" customWidth="1"/>
    <col min="6400" max="6400" width="9.140625" style="43"/>
    <col min="6401" max="6401" width="14.28515625" style="43" bestFit="1" customWidth="1"/>
    <col min="6402" max="6402" width="8.5703125" style="43" bestFit="1" customWidth="1"/>
    <col min="6403" max="6403" width="12" style="43" customWidth="1"/>
    <col min="6404" max="6406" width="12.28515625" style="43" customWidth="1"/>
    <col min="6407" max="6407" width="14" style="43" bestFit="1" customWidth="1"/>
    <col min="6408" max="6654" width="9.140625" style="43"/>
    <col min="6655" max="6655" width="36.42578125" style="43" customWidth="1"/>
    <col min="6656" max="6656" width="9.140625" style="43"/>
    <col min="6657" max="6657" width="14.28515625" style="43" bestFit="1" customWidth="1"/>
    <col min="6658" max="6658" width="8.5703125" style="43" bestFit="1" customWidth="1"/>
    <col min="6659" max="6659" width="12" style="43" customWidth="1"/>
    <col min="6660" max="6662" width="12.28515625" style="43" customWidth="1"/>
    <col min="6663" max="6663" width="14" style="43" bestFit="1" customWidth="1"/>
    <col min="6664" max="6910" width="9.140625" style="43"/>
    <col min="6911" max="6911" width="36.42578125" style="43" customWidth="1"/>
    <col min="6912" max="6912" width="9.140625" style="43"/>
    <col min="6913" max="6913" width="14.28515625" style="43" bestFit="1" customWidth="1"/>
    <col min="6914" max="6914" width="8.5703125" style="43" bestFit="1" customWidth="1"/>
    <col min="6915" max="6915" width="12" style="43" customWidth="1"/>
    <col min="6916" max="6918" width="12.28515625" style="43" customWidth="1"/>
    <col min="6919" max="6919" width="14" style="43" bestFit="1" customWidth="1"/>
    <col min="6920" max="7166" width="9.140625" style="43"/>
    <col min="7167" max="7167" width="36.42578125" style="43" customWidth="1"/>
    <col min="7168" max="7168" width="9.140625" style="43"/>
    <col min="7169" max="7169" width="14.28515625" style="43" bestFit="1" customWidth="1"/>
    <col min="7170" max="7170" width="8.5703125" style="43" bestFit="1" customWidth="1"/>
    <col min="7171" max="7171" width="12" style="43" customWidth="1"/>
    <col min="7172" max="7174" width="12.28515625" style="43" customWidth="1"/>
    <col min="7175" max="7175" width="14" style="43" bestFit="1" customWidth="1"/>
    <col min="7176" max="7422" width="9.140625" style="43"/>
    <col min="7423" max="7423" width="36.42578125" style="43" customWidth="1"/>
    <col min="7424" max="7424" width="9.140625" style="43"/>
    <col min="7425" max="7425" width="14.28515625" style="43" bestFit="1" customWidth="1"/>
    <col min="7426" max="7426" width="8.5703125" style="43" bestFit="1" customWidth="1"/>
    <col min="7427" max="7427" width="12" style="43" customWidth="1"/>
    <col min="7428" max="7430" width="12.28515625" style="43" customWidth="1"/>
    <col min="7431" max="7431" width="14" style="43" bestFit="1" customWidth="1"/>
    <col min="7432" max="7678" width="9.140625" style="43"/>
    <col min="7679" max="7679" width="36.42578125" style="43" customWidth="1"/>
    <col min="7680" max="7680" width="9.140625" style="43"/>
    <col min="7681" max="7681" width="14.28515625" style="43" bestFit="1" customWidth="1"/>
    <col min="7682" max="7682" width="8.5703125" style="43" bestFit="1" customWidth="1"/>
    <col min="7683" max="7683" width="12" style="43" customWidth="1"/>
    <col min="7684" max="7686" width="12.28515625" style="43" customWidth="1"/>
    <col min="7687" max="7687" width="14" style="43" bestFit="1" customWidth="1"/>
    <col min="7688" max="7934" width="9.140625" style="43"/>
    <col min="7935" max="7935" width="36.42578125" style="43" customWidth="1"/>
    <col min="7936" max="7936" width="9.140625" style="43"/>
    <col min="7937" max="7937" width="14.28515625" style="43" bestFit="1" customWidth="1"/>
    <col min="7938" max="7938" width="8.5703125" style="43" bestFit="1" customWidth="1"/>
    <col min="7939" max="7939" width="12" style="43" customWidth="1"/>
    <col min="7940" max="7942" width="12.28515625" style="43" customWidth="1"/>
    <col min="7943" max="7943" width="14" style="43" bestFit="1" customWidth="1"/>
    <col min="7944" max="8190" width="9.140625" style="43"/>
    <col min="8191" max="8191" width="36.42578125" style="43" customWidth="1"/>
    <col min="8192" max="8192" width="9.140625" style="43"/>
    <col min="8193" max="8193" width="14.28515625" style="43" bestFit="1" customWidth="1"/>
    <col min="8194" max="8194" width="8.5703125" style="43" bestFit="1" customWidth="1"/>
    <col min="8195" max="8195" width="12" style="43" customWidth="1"/>
    <col min="8196" max="8198" width="12.28515625" style="43" customWidth="1"/>
    <col min="8199" max="8199" width="14" style="43" bestFit="1" customWidth="1"/>
    <col min="8200" max="8446" width="9.140625" style="43"/>
    <col min="8447" max="8447" width="36.42578125" style="43" customWidth="1"/>
    <col min="8448" max="8448" width="9.140625" style="43"/>
    <col min="8449" max="8449" width="14.28515625" style="43" bestFit="1" customWidth="1"/>
    <col min="8450" max="8450" width="8.5703125" style="43" bestFit="1" customWidth="1"/>
    <col min="8451" max="8451" width="12" style="43" customWidth="1"/>
    <col min="8452" max="8454" width="12.28515625" style="43" customWidth="1"/>
    <col min="8455" max="8455" width="14" style="43" bestFit="1" customWidth="1"/>
    <col min="8456" max="8702" width="9.140625" style="43"/>
    <col min="8703" max="8703" width="36.42578125" style="43" customWidth="1"/>
    <col min="8704" max="8704" width="9.140625" style="43"/>
    <col min="8705" max="8705" width="14.28515625" style="43" bestFit="1" customWidth="1"/>
    <col min="8706" max="8706" width="8.5703125" style="43" bestFit="1" customWidth="1"/>
    <col min="8707" max="8707" width="12" style="43" customWidth="1"/>
    <col min="8708" max="8710" width="12.28515625" style="43" customWidth="1"/>
    <col min="8711" max="8711" width="14" style="43" bestFit="1" customWidth="1"/>
    <col min="8712" max="8958" width="9.140625" style="43"/>
    <col min="8959" max="8959" width="36.42578125" style="43" customWidth="1"/>
    <col min="8960" max="8960" width="9.140625" style="43"/>
    <col min="8961" max="8961" width="14.28515625" style="43" bestFit="1" customWidth="1"/>
    <col min="8962" max="8962" width="8.5703125" style="43" bestFit="1" customWidth="1"/>
    <col min="8963" max="8963" width="12" style="43" customWidth="1"/>
    <col min="8964" max="8966" width="12.28515625" style="43" customWidth="1"/>
    <col min="8967" max="8967" width="14" style="43" bestFit="1" customWidth="1"/>
    <col min="8968" max="9214" width="9.140625" style="43"/>
    <col min="9215" max="9215" width="36.42578125" style="43" customWidth="1"/>
    <col min="9216" max="9216" width="9.140625" style="43"/>
    <col min="9217" max="9217" width="14.28515625" style="43" bestFit="1" customWidth="1"/>
    <col min="9218" max="9218" width="8.5703125" style="43" bestFit="1" customWidth="1"/>
    <col min="9219" max="9219" width="12" style="43" customWidth="1"/>
    <col min="9220" max="9222" width="12.28515625" style="43" customWidth="1"/>
    <col min="9223" max="9223" width="14" style="43" bestFit="1" customWidth="1"/>
    <col min="9224" max="9470" width="9.140625" style="43"/>
    <col min="9471" max="9471" width="36.42578125" style="43" customWidth="1"/>
    <col min="9472" max="9472" width="9.140625" style="43"/>
    <col min="9473" max="9473" width="14.28515625" style="43" bestFit="1" customWidth="1"/>
    <col min="9474" max="9474" width="8.5703125" style="43" bestFit="1" customWidth="1"/>
    <col min="9475" max="9475" width="12" style="43" customWidth="1"/>
    <col min="9476" max="9478" width="12.28515625" style="43" customWidth="1"/>
    <col min="9479" max="9479" width="14" style="43" bestFit="1" customWidth="1"/>
    <col min="9480" max="9726" width="9.140625" style="43"/>
    <col min="9727" max="9727" width="36.42578125" style="43" customWidth="1"/>
    <col min="9728" max="9728" width="9.140625" style="43"/>
    <col min="9729" max="9729" width="14.28515625" style="43" bestFit="1" customWidth="1"/>
    <col min="9730" max="9730" width="8.5703125" style="43" bestFit="1" customWidth="1"/>
    <col min="9731" max="9731" width="12" style="43" customWidth="1"/>
    <col min="9732" max="9734" width="12.28515625" style="43" customWidth="1"/>
    <col min="9735" max="9735" width="14" style="43" bestFit="1" customWidth="1"/>
    <col min="9736" max="9982" width="9.140625" style="43"/>
    <col min="9983" max="9983" width="36.42578125" style="43" customWidth="1"/>
    <col min="9984" max="9984" width="9.140625" style="43"/>
    <col min="9985" max="9985" width="14.28515625" style="43" bestFit="1" customWidth="1"/>
    <col min="9986" max="9986" width="8.5703125" style="43" bestFit="1" customWidth="1"/>
    <col min="9987" max="9987" width="12" style="43" customWidth="1"/>
    <col min="9988" max="9990" width="12.28515625" style="43" customWidth="1"/>
    <col min="9991" max="9991" width="14" style="43" bestFit="1" customWidth="1"/>
    <col min="9992" max="10238" width="9.140625" style="43"/>
    <col min="10239" max="10239" width="36.42578125" style="43" customWidth="1"/>
    <col min="10240" max="10240" width="9.140625" style="43"/>
    <col min="10241" max="10241" width="14.28515625" style="43" bestFit="1" customWidth="1"/>
    <col min="10242" max="10242" width="8.5703125" style="43" bestFit="1" customWidth="1"/>
    <col min="10243" max="10243" width="12" style="43" customWidth="1"/>
    <col min="10244" max="10246" width="12.28515625" style="43" customWidth="1"/>
    <col min="10247" max="10247" width="14" style="43" bestFit="1" customWidth="1"/>
    <col min="10248" max="10494" width="9.140625" style="43"/>
    <col min="10495" max="10495" width="36.42578125" style="43" customWidth="1"/>
    <col min="10496" max="10496" width="9.140625" style="43"/>
    <col min="10497" max="10497" width="14.28515625" style="43" bestFit="1" customWidth="1"/>
    <col min="10498" max="10498" width="8.5703125" style="43" bestFit="1" customWidth="1"/>
    <col min="10499" max="10499" width="12" style="43" customWidth="1"/>
    <col min="10500" max="10502" width="12.28515625" style="43" customWidth="1"/>
    <col min="10503" max="10503" width="14" style="43" bestFit="1" customWidth="1"/>
    <col min="10504" max="10750" width="9.140625" style="43"/>
    <col min="10751" max="10751" width="36.42578125" style="43" customWidth="1"/>
    <col min="10752" max="10752" width="9.140625" style="43"/>
    <col min="10753" max="10753" width="14.28515625" style="43" bestFit="1" customWidth="1"/>
    <col min="10754" max="10754" width="8.5703125" style="43" bestFit="1" customWidth="1"/>
    <col min="10755" max="10755" width="12" style="43" customWidth="1"/>
    <col min="10756" max="10758" width="12.28515625" style="43" customWidth="1"/>
    <col min="10759" max="10759" width="14" style="43" bestFit="1" customWidth="1"/>
    <col min="10760" max="11006" width="9.140625" style="43"/>
    <col min="11007" max="11007" width="36.42578125" style="43" customWidth="1"/>
    <col min="11008" max="11008" width="9.140625" style="43"/>
    <col min="11009" max="11009" width="14.28515625" style="43" bestFit="1" customWidth="1"/>
    <col min="11010" max="11010" width="8.5703125" style="43" bestFit="1" customWidth="1"/>
    <col min="11011" max="11011" width="12" style="43" customWidth="1"/>
    <col min="11012" max="11014" width="12.28515625" style="43" customWidth="1"/>
    <col min="11015" max="11015" width="14" style="43" bestFit="1" customWidth="1"/>
    <col min="11016" max="11262" width="9.140625" style="43"/>
    <col min="11263" max="11263" width="36.42578125" style="43" customWidth="1"/>
    <col min="11264" max="11264" width="9.140625" style="43"/>
    <col min="11265" max="11265" width="14.28515625" style="43" bestFit="1" customWidth="1"/>
    <col min="11266" max="11266" width="8.5703125" style="43" bestFit="1" customWidth="1"/>
    <col min="11267" max="11267" width="12" style="43" customWidth="1"/>
    <col min="11268" max="11270" width="12.28515625" style="43" customWidth="1"/>
    <col min="11271" max="11271" width="14" style="43" bestFit="1" customWidth="1"/>
    <col min="11272" max="11518" width="9.140625" style="43"/>
    <col min="11519" max="11519" width="36.42578125" style="43" customWidth="1"/>
    <col min="11520" max="11520" width="9.140625" style="43"/>
    <col min="11521" max="11521" width="14.28515625" style="43" bestFit="1" customWidth="1"/>
    <col min="11522" max="11522" width="8.5703125" style="43" bestFit="1" customWidth="1"/>
    <col min="11523" max="11523" width="12" style="43" customWidth="1"/>
    <col min="11524" max="11526" width="12.28515625" style="43" customWidth="1"/>
    <col min="11527" max="11527" width="14" style="43" bestFit="1" customWidth="1"/>
    <col min="11528" max="11774" width="9.140625" style="43"/>
    <col min="11775" max="11775" width="36.42578125" style="43" customWidth="1"/>
    <col min="11776" max="11776" width="9.140625" style="43"/>
    <col min="11777" max="11777" width="14.28515625" style="43" bestFit="1" customWidth="1"/>
    <col min="11778" max="11778" width="8.5703125" style="43" bestFit="1" customWidth="1"/>
    <col min="11779" max="11779" width="12" style="43" customWidth="1"/>
    <col min="11780" max="11782" width="12.28515625" style="43" customWidth="1"/>
    <col min="11783" max="11783" width="14" style="43" bestFit="1" customWidth="1"/>
    <col min="11784" max="12030" width="9.140625" style="43"/>
    <col min="12031" max="12031" width="36.42578125" style="43" customWidth="1"/>
    <col min="12032" max="12032" width="9.140625" style="43"/>
    <col min="12033" max="12033" width="14.28515625" style="43" bestFit="1" customWidth="1"/>
    <col min="12034" max="12034" width="8.5703125" style="43" bestFit="1" customWidth="1"/>
    <col min="12035" max="12035" width="12" style="43" customWidth="1"/>
    <col min="12036" max="12038" width="12.28515625" style="43" customWidth="1"/>
    <col min="12039" max="12039" width="14" style="43" bestFit="1" customWidth="1"/>
    <col min="12040" max="12286" width="9.140625" style="43"/>
    <col min="12287" max="12287" width="36.42578125" style="43" customWidth="1"/>
    <col min="12288" max="12288" width="9.140625" style="43"/>
    <col min="12289" max="12289" width="14.28515625" style="43" bestFit="1" customWidth="1"/>
    <col min="12290" max="12290" width="8.5703125" style="43" bestFit="1" customWidth="1"/>
    <col min="12291" max="12291" width="12" style="43" customWidth="1"/>
    <col min="12292" max="12294" width="12.28515625" style="43" customWidth="1"/>
    <col min="12295" max="12295" width="14" style="43" bestFit="1" customWidth="1"/>
    <col min="12296" max="12542" width="9.140625" style="43"/>
    <col min="12543" max="12543" width="36.42578125" style="43" customWidth="1"/>
    <col min="12544" max="12544" width="9.140625" style="43"/>
    <col min="12545" max="12545" width="14.28515625" style="43" bestFit="1" customWidth="1"/>
    <col min="12546" max="12546" width="8.5703125" style="43" bestFit="1" customWidth="1"/>
    <col min="12547" max="12547" width="12" style="43" customWidth="1"/>
    <col min="12548" max="12550" width="12.28515625" style="43" customWidth="1"/>
    <col min="12551" max="12551" width="14" style="43" bestFit="1" customWidth="1"/>
    <col min="12552" max="12798" width="9.140625" style="43"/>
    <col min="12799" max="12799" width="36.42578125" style="43" customWidth="1"/>
    <col min="12800" max="12800" width="9.140625" style="43"/>
    <col min="12801" max="12801" width="14.28515625" style="43" bestFit="1" customWidth="1"/>
    <col min="12802" max="12802" width="8.5703125" style="43" bestFit="1" customWidth="1"/>
    <col min="12803" max="12803" width="12" style="43" customWidth="1"/>
    <col min="12804" max="12806" width="12.28515625" style="43" customWidth="1"/>
    <col min="12807" max="12807" width="14" style="43" bestFit="1" customWidth="1"/>
    <col min="12808" max="13054" width="9.140625" style="43"/>
    <col min="13055" max="13055" width="36.42578125" style="43" customWidth="1"/>
    <col min="13056" max="13056" width="9.140625" style="43"/>
    <col min="13057" max="13057" width="14.28515625" style="43" bestFit="1" customWidth="1"/>
    <col min="13058" max="13058" width="8.5703125" style="43" bestFit="1" customWidth="1"/>
    <col min="13059" max="13059" width="12" style="43" customWidth="1"/>
    <col min="13060" max="13062" width="12.28515625" style="43" customWidth="1"/>
    <col min="13063" max="13063" width="14" style="43" bestFit="1" customWidth="1"/>
    <col min="13064" max="13310" width="9.140625" style="43"/>
    <col min="13311" max="13311" width="36.42578125" style="43" customWidth="1"/>
    <col min="13312" max="13312" width="9.140625" style="43"/>
    <col min="13313" max="13313" width="14.28515625" style="43" bestFit="1" customWidth="1"/>
    <col min="13314" max="13314" width="8.5703125" style="43" bestFit="1" customWidth="1"/>
    <col min="13315" max="13315" width="12" style="43" customWidth="1"/>
    <col min="13316" max="13318" width="12.28515625" style="43" customWidth="1"/>
    <col min="13319" max="13319" width="14" style="43" bestFit="1" customWidth="1"/>
    <col min="13320" max="13566" width="9.140625" style="43"/>
    <col min="13567" max="13567" width="36.42578125" style="43" customWidth="1"/>
    <col min="13568" max="13568" width="9.140625" style="43"/>
    <col min="13569" max="13569" width="14.28515625" style="43" bestFit="1" customWidth="1"/>
    <col min="13570" max="13570" width="8.5703125" style="43" bestFit="1" customWidth="1"/>
    <col min="13571" max="13571" width="12" style="43" customWidth="1"/>
    <col min="13572" max="13574" width="12.28515625" style="43" customWidth="1"/>
    <col min="13575" max="13575" width="14" style="43" bestFit="1" customWidth="1"/>
    <col min="13576" max="13822" width="9.140625" style="43"/>
    <col min="13823" max="13823" width="36.42578125" style="43" customWidth="1"/>
    <col min="13824" max="13824" width="9.140625" style="43"/>
    <col min="13825" max="13825" width="14.28515625" style="43" bestFit="1" customWidth="1"/>
    <col min="13826" max="13826" width="8.5703125" style="43" bestFit="1" customWidth="1"/>
    <col min="13827" max="13827" width="12" style="43" customWidth="1"/>
    <col min="13828" max="13830" width="12.28515625" style="43" customWidth="1"/>
    <col min="13831" max="13831" width="14" style="43" bestFit="1" customWidth="1"/>
    <col min="13832" max="14078" width="9.140625" style="43"/>
    <col min="14079" max="14079" width="36.42578125" style="43" customWidth="1"/>
    <col min="14080" max="14080" width="9.140625" style="43"/>
    <col min="14081" max="14081" width="14.28515625" style="43" bestFit="1" customWidth="1"/>
    <col min="14082" max="14082" width="8.5703125" style="43" bestFit="1" customWidth="1"/>
    <col min="14083" max="14083" width="12" style="43" customWidth="1"/>
    <col min="14084" max="14086" width="12.28515625" style="43" customWidth="1"/>
    <col min="14087" max="14087" width="14" style="43" bestFit="1" customWidth="1"/>
    <col min="14088" max="14334" width="9.140625" style="43"/>
    <col min="14335" max="14335" width="36.42578125" style="43" customWidth="1"/>
    <col min="14336" max="14336" width="9.140625" style="43"/>
    <col min="14337" max="14337" width="14.28515625" style="43" bestFit="1" customWidth="1"/>
    <col min="14338" max="14338" width="8.5703125" style="43" bestFit="1" customWidth="1"/>
    <col min="14339" max="14339" width="12" style="43" customWidth="1"/>
    <col min="14340" max="14342" width="12.28515625" style="43" customWidth="1"/>
    <col min="14343" max="14343" width="14" style="43" bestFit="1" customWidth="1"/>
    <col min="14344" max="14590" width="9.140625" style="43"/>
    <col min="14591" max="14591" width="36.42578125" style="43" customWidth="1"/>
    <col min="14592" max="14592" width="9.140625" style="43"/>
    <col min="14593" max="14593" width="14.28515625" style="43" bestFit="1" customWidth="1"/>
    <col min="14594" max="14594" width="8.5703125" style="43" bestFit="1" customWidth="1"/>
    <col min="14595" max="14595" width="12" style="43" customWidth="1"/>
    <col min="14596" max="14598" width="12.28515625" style="43" customWidth="1"/>
    <col min="14599" max="14599" width="14" style="43" bestFit="1" customWidth="1"/>
    <col min="14600" max="14846" width="9.140625" style="43"/>
    <col min="14847" max="14847" width="36.42578125" style="43" customWidth="1"/>
    <col min="14848" max="14848" width="9.140625" style="43"/>
    <col min="14849" max="14849" width="14.28515625" style="43" bestFit="1" customWidth="1"/>
    <col min="14850" max="14850" width="8.5703125" style="43" bestFit="1" customWidth="1"/>
    <col min="14851" max="14851" width="12" style="43" customWidth="1"/>
    <col min="14852" max="14854" width="12.28515625" style="43" customWidth="1"/>
    <col min="14855" max="14855" width="14" style="43" bestFit="1" customWidth="1"/>
    <col min="14856" max="15102" width="9.140625" style="43"/>
    <col min="15103" max="15103" width="36.42578125" style="43" customWidth="1"/>
    <col min="15104" max="15104" width="9.140625" style="43"/>
    <col min="15105" max="15105" width="14.28515625" style="43" bestFit="1" customWidth="1"/>
    <col min="15106" max="15106" width="8.5703125" style="43" bestFit="1" customWidth="1"/>
    <col min="15107" max="15107" width="12" style="43" customWidth="1"/>
    <col min="15108" max="15110" width="12.28515625" style="43" customWidth="1"/>
    <col min="15111" max="15111" width="14" style="43" bestFit="1" customWidth="1"/>
    <col min="15112" max="15358" width="9.140625" style="43"/>
    <col min="15359" max="15359" width="36.42578125" style="43" customWidth="1"/>
    <col min="15360" max="15360" width="9.140625" style="43"/>
    <col min="15361" max="15361" width="14.28515625" style="43" bestFit="1" customWidth="1"/>
    <col min="15362" max="15362" width="8.5703125" style="43" bestFit="1" customWidth="1"/>
    <col min="15363" max="15363" width="12" style="43" customWidth="1"/>
    <col min="15364" max="15366" width="12.28515625" style="43" customWidth="1"/>
    <col min="15367" max="15367" width="14" style="43" bestFit="1" customWidth="1"/>
    <col min="15368" max="15614" width="9.140625" style="43"/>
    <col min="15615" max="15615" width="36.42578125" style="43" customWidth="1"/>
    <col min="15616" max="15616" width="9.140625" style="43"/>
    <col min="15617" max="15617" width="14.28515625" style="43" bestFit="1" customWidth="1"/>
    <col min="15618" max="15618" width="8.5703125" style="43" bestFit="1" customWidth="1"/>
    <col min="15619" max="15619" width="12" style="43" customWidth="1"/>
    <col min="15620" max="15622" width="12.28515625" style="43" customWidth="1"/>
    <col min="15623" max="15623" width="14" style="43" bestFit="1" customWidth="1"/>
    <col min="15624" max="15870" width="9.140625" style="43"/>
    <col min="15871" max="15871" width="36.42578125" style="43" customWidth="1"/>
    <col min="15872" max="15872" width="9.140625" style="43"/>
    <col min="15873" max="15873" width="14.28515625" style="43" bestFit="1" customWidth="1"/>
    <col min="15874" max="15874" width="8.5703125" style="43" bestFit="1" customWidth="1"/>
    <col min="15875" max="15875" width="12" style="43" customWidth="1"/>
    <col min="15876" max="15878" width="12.28515625" style="43" customWidth="1"/>
    <col min="15879" max="15879" width="14" style="43" bestFit="1" customWidth="1"/>
    <col min="15880" max="16126" width="9.140625" style="43"/>
    <col min="16127" max="16127" width="36.42578125" style="43" customWidth="1"/>
    <col min="16128" max="16128" width="9.140625" style="43"/>
    <col min="16129" max="16129" width="14.28515625" style="43" bestFit="1" customWidth="1"/>
    <col min="16130" max="16130" width="8.5703125" style="43" bestFit="1" customWidth="1"/>
    <col min="16131" max="16131" width="12" style="43" customWidth="1"/>
    <col min="16132" max="16134" width="12.28515625" style="43" customWidth="1"/>
    <col min="16135" max="16135" width="14" style="43" bestFit="1" customWidth="1"/>
    <col min="16136" max="16384" width="9.140625" style="43"/>
  </cols>
  <sheetData>
    <row r="1" spans="1:25" s="41" customFormat="1" ht="31.5" customHeight="1" x14ac:dyDescent="0.25">
      <c r="A1" s="46"/>
      <c r="B1" s="53" t="s">
        <v>307</v>
      </c>
      <c r="C1" s="53" t="s">
        <v>109</v>
      </c>
      <c r="D1" s="40" t="s">
        <v>110</v>
      </c>
      <c r="E1" s="49" t="s">
        <v>1</v>
      </c>
      <c r="F1" s="40" t="s">
        <v>6</v>
      </c>
      <c r="G1" s="40" t="s">
        <v>305</v>
      </c>
      <c r="H1" s="50" t="s">
        <v>206</v>
      </c>
      <c r="J1" s="161" t="s">
        <v>325</v>
      </c>
      <c r="K1" s="162" t="s">
        <v>343</v>
      </c>
      <c r="L1" s="162" t="s">
        <v>346</v>
      </c>
      <c r="M1" s="163" t="s">
        <v>378</v>
      </c>
      <c r="N1" s="162" t="s">
        <v>377</v>
      </c>
      <c r="O1" s="162" t="s">
        <v>421</v>
      </c>
      <c r="P1" s="163" t="s">
        <v>425</v>
      </c>
      <c r="Q1" s="279" t="s">
        <v>439</v>
      </c>
      <c r="R1" s="499" t="s">
        <v>482</v>
      </c>
      <c r="S1" s="441" t="s">
        <v>564</v>
      </c>
      <c r="T1" s="442" t="s">
        <v>583</v>
      </c>
      <c r="U1" s="536" t="s">
        <v>623</v>
      </c>
      <c r="V1" s="536" t="s">
        <v>657</v>
      </c>
      <c r="W1" s="694" t="s">
        <v>725</v>
      </c>
      <c r="X1" s="756" t="s">
        <v>733</v>
      </c>
      <c r="Y1" s="916" t="s">
        <v>767</v>
      </c>
    </row>
    <row r="2" spans="1:25" ht="12.75" x14ac:dyDescent="0.2">
      <c r="A2" s="280" t="s">
        <v>422</v>
      </c>
      <c r="B2" s="281">
        <v>2200000</v>
      </c>
      <c r="C2" s="282">
        <f>1250000+950000</f>
        <v>2200000</v>
      </c>
      <c r="D2" s="630">
        <v>2500000</v>
      </c>
      <c r="E2" s="631">
        <v>2500000</v>
      </c>
      <c r="F2" s="630">
        <v>2800000</v>
      </c>
      <c r="G2" s="630">
        <f>2500000+1300000</f>
        <v>3800000</v>
      </c>
      <c r="H2" s="283">
        <v>2800000</v>
      </c>
      <c r="I2" s="632" t="s">
        <v>62</v>
      </c>
      <c r="J2" s="283">
        <f>2500000-240000</f>
        <v>2260000</v>
      </c>
      <c r="K2" s="283">
        <v>2450000</v>
      </c>
      <c r="L2" s="283">
        <f>H2</f>
        <v>2800000</v>
      </c>
      <c r="M2" s="283">
        <f>280000+240000+700000+320000+240000+200000+130000+200000+190000+230000</f>
        <v>2730000</v>
      </c>
      <c r="N2" s="630">
        <f>L2</f>
        <v>2800000</v>
      </c>
      <c r="O2" s="633">
        <v>3000000</v>
      </c>
      <c r="P2" s="630">
        <v>3000000</v>
      </c>
      <c r="Q2" s="283">
        <f>280000+227845+3277430</f>
        <v>3785275</v>
      </c>
      <c r="R2" s="283">
        <v>3500000</v>
      </c>
      <c r="S2" s="283">
        <v>1000000</v>
      </c>
      <c r="T2" s="283">
        <v>3500000</v>
      </c>
      <c r="U2" s="283">
        <v>3500000</v>
      </c>
      <c r="V2" s="283"/>
      <c r="W2" s="720"/>
      <c r="X2" s="769">
        <f>2000000/2</f>
        <v>1000000</v>
      </c>
      <c r="Y2" s="908"/>
    </row>
    <row r="3" spans="1:25" ht="12.75" x14ac:dyDescent="0.2">
      <c r="A3" s="280" t="s">
        <v>423</v>
      </c>
      <c r="B3" s="281"/>
      <c r="C3" s="282"/>
      <c r="D3" s="630"/>
      <c r="E3" s="631"/>
      <c r="F3" s="630"/>
      <c r="G3" s="630"/>
      <c r="H3" s="283"/>
      <c r="I3" s="632"/>
      <c r="J3" s="283"/>
      <c r="K3" s="283"/>
      <c r="L3" s="283"/>
      <c r="M3" s="283"/>
      <c r="N3" s="630"/>
      <c r="O3" s="633">
        <v>400000</v>
      </c>
      <c r="P3" s="630">
        <v>400000</v>
      </c>
      <c r="Q3" s="283">
        <v>200000</v>
      </c>
      <c r="R3" s="283">
        <f t="shared" ref="R3:R16" si="0">P3</f>
        <v>400000</v>
      </c>
      <c r="S3" s="409"/>
      <c r="T3" s="283">
        <f t="shared" ref="T3:U16" si="1">R3</f>
        <v>400000</v>
      </c>
      <c r="U3" s="283">
        <f t="shared" si="1"/>
        <v>0</v>
      </c>
      <c r="V3" s="283"/>
      <c r="W3" s="720"/>
      <c r="X3" s="769">
        <f>400000/2</f>
        <v>200000</v>
      </c>
      <c r="Y3" s="908"/>
    </row>
    <row r="4" spans="1:25" ht="12.75" x14ac:dyDescent="0.2">
      <c r="A4" s="284" t="s">
        <v>292</v>
      </c>
      <c r="B4" s="281">
        <f>250000+150000</f>
        <v>400000</v>
      </c>
      <c r="C4" s="282">
        <v>300000</v>
      </c>
      <c r="D4" s="630">
        <f>B4</f>
        <v>400000</v>
      </c>
      <c r="E4" s="631">
        <v>400000</v>
      </c>
      <c r="F4" s="630">
        <v>400000</v>
      </c>
      <c r="G4" s="630">
        <v>787500</v>
      </c>
      <c r="H4" s="283">
        <v>800000</v>
      </c>
      <c r="I4" s="632" t="s">
        <v>62</v>
      </c>
      <c r="J4" s="283">
        <v>400000</v>
      </c>
      <c r="K4" s="283">
        <v>600000</v>
      </c>
      <c r="L4" s="283">
        <f t="shared" ref="L4:L16" si="2">H4</f>
        <v>800000</v>
      </c>
      <c r="M4" s="283">
        <v>600000</v>
      </c>
      <c r="N4" s="630">
        <f t="shared" ref="N4:N16" si="3">L4</f>
        <v>800000</v>
      </c>
      <c r="O4" s="633">
        <v>700000</v>
      </c>
      <c r="P4" s="630">
        <v>700000</v>
      </c>
      <c r="Q4" s="283">
        <f>200000+200000+200000+200000</f>
        <v>800000</v>
      </c>
      <c r="R4" s="283">
        <f t="shared" si="0"/>
        <v>700000</v>
      </c>
      <c r="S4" s="409"/>
      <c r="T4" s="283">
        <v>300000</v>
      </c>
      <c r="U4" s="283">
        <v>300000</v>
      </c>
      <c r="V4" s="283"/>
      <c r="W4" s="720"/>
      <c r="X4" s="769">
        <v>120000</v>
      </c>
      <c r="Y4" s="908"/>
    </row>
    <row r="5" spans="1:25" ht="12.75" x14ac:dyDescent="0.2">
      <c r="A5" s="280" t="s">
        <v>293</v>
      </c>
      <c r="B5" s="281">
        <v>150000</v>
      </c>
      <c r="C5" s="282">
        <v>0</v>
      </c>
      <c r="D5" s="630">
        <f>B5</f>
        <v>150000</v>
      </c>
      <c r="E5" s="631">
        <v>40000</v>
      </c>
      <c r="F5" s="630">
        <v>150000</v>
      </c>
      <c r="G5" s="630">
        <v>0</v>
      </c>
      <c r="H5" s="283">
        <v>150000</v>
      </c>
      <c r="I5" s="632" t="s">
        <v>62</v>
      </c>
      <c r="J5" s="283"/>
      <c r="K5" s="283"/>
      <c r="L5" s="283">
        <f t="shared" si="2"/>
        <v>150000</v>
      </c>
      <c r="M5" s="283">
        <v>0</v>
      </c>
      <c r="N5" s="630">
        <f t="shared" si="3"/>
        <v>150000</v>
      </c>
      <c r="O5" s="633">
        <f t="shared" ref="O5:O16" si="4">N5</f>
        <v>150000</v>
      </c>
      <c r="P5" s="630">
        <v>150000</v>
      </c>
      <c r="Q5" s="283"/>
      <c r="R5" s="283">
        <v>500000</v>
      </c>
      <c r="S5" s="409"/>
      <c r="T5" s="283">
        <v>500000</v>
      </c>
      <c r="U5" s="283">
        <v>500000</v>
      </c>
      <c r="V5" s="283">
        <v>0</v>
      </c>
      <c r="W5" s="720"/>
      <c r="X5" s="758">
        <v>50000</v>
      </c>
      <c r="Y5" s="908"/>
    </row>
    <row r="6" spans="1:25" ht="12.75" x14ac:dyDescent="0.2">
      <c r="A6" s="891" t="s">
        <v>294</v>
      </c>
      <c r="B6" s="281">
        <v>683000</v>
      </c>
      <c r="C6" s="282">
        <f>181080+301800</f>
        <v>482880</v>
      </c>
      <c r="D6" s="630">
        <f>B6*2</f>
        <v>1366000</v>
      </c>
      <c r="E6" s="631">
        <v>1556280</v>
      </c>
      <c r="F6" s="630">
        <v>1375200</v>
      </c>
      <c r="G6" s="630">
        <v>1570200</v>
      </c>
      <c r="H6" s="283">
        <f>130850*12</f>
        <v>1570200</v>
      </c>
      <c r="I6" s="632" t="s">
        <v>62</v>
      </c>
      <c r="J6" s="283">
        <v>1308500</v>
      </c>
      <c r="K6" s="283">
        <v>1308500</v>
      </c>
      <c r="L6" s="283">
        <f>2766*70*12</f>
        <v>2323440</v>
      </c>
      <c r="M6" s="283">
        <v>1570200</v>
      </c>
      <c r="N6" s="630">
        <f t="shared" si="3"/>
        <v>2323440</v>
      </c>
      <c r="O6" s="633">
        <f>N6</f>
        <v>2323440</v>
      </c>
      <c r="P6" s="630">
        <v>2323440</v>
      </c>
      <c r="Q6" s="283"/>
      <c r="R6" s="283">
        <f t="shared" si="0"/>
        <v>2323440</v>
      </c>
      <c r="S6" s="409"/>
      <c r="T6" s="283">
        <f t="shared" si="1"/>
        <v>2323440</v>
      </c>
      <c r="U6" s="283">
        <v>2323440</v>
      </c>
      <c r="V6" s="283">
        <v>4000000</v>
      </c>
      <c r="W6" s="720">
        <v>333000</v>
      </c>
      <c r="X6" s="758"/>
      <c r="Y6" s="908"/>
    </row>
    <row r="7" spans="1:25" ht="12.75" x14ac:dyDescent="0.2">
      <c r="A7" s="284" t="s">
        <v>295</v>
      </c>
      <c r="B7" s="281">
        <v>614000</v>
      </c>
      <c r="C7" s="282">
        <v>841780</v>
      </c>
      <c r="D7" s="630">
        <f>B7</f>
        <v>614000</v>
      </c>
      <c r="E7" s="631">
        <v>614000</v>
      </c>
      <c r="F7" s="630">
        <v>614000</v>
      </c>
      <c r="G7" s="630">
        <v>0</v>
      </c>
      <c r="H7" s="283">
        <v>0</v>
      </c>
      <c r="I7" s="632" t="s">
        <v>62</v>
      </c>
      <c r="J7" s="283"/>
      <c r="K7" s="283"/>
      <c r="L7" s="283">
        <f t="shared" si="2"/>
        <v>0</v>
      </c>
      <c r="M7" s="283">
        <f t="shared" ref="M7" si="5">L7</f>
        <v>0</v>
      </c>
      <c r="N7" s="630">
        <f t="shared" si="3"/>
        <v>0</v>
      </c>
      <c r="O7" s="633">
        <f t="shared" si="4"/>
        <v>0</v>
      </c>
      <c r="P7" s="630">
        <v>0</v>
      </c>
      <c r="Q7" s="283"/>
      <c r="R7" s="283">
        <f t="shared" si="0"/>
        <v>0</v>
      </c>
      <c r="S7" s="409"/>
      <c r="T7" s="283">
        <v>700000</v>
      </c>
      <c r="U7" s="283">
        <v>700000</v>
      </c>
      <c r="V7" s="283">
        <f>1000000+1100000</f>
        <v>2100000</v>
      </c>
      <c r="W7" s="720">
        <v>2100000</v>
      </c>
      <c r="X7" s="758">
        <v>1200000</v>
      </c>
      <c r="Y7" s="908"/>
    </row>
    <row r="8" spans="1:25" ht="12.75" x14ac:dyDescent="0.2">
      <c r="A8" s="891" t="s">
        <v>296</v>
      </c>
      <c r="B8" s="281">
        <v>2400000</v>
      </c>
      <c r="C8" s="282">
        <v>1600000</v>
      </c>
      <c r="D8" s="630">
        <f>B8</f>
        <v>2400000</v>
      </c>
      <c r="E8" s="631">
        <v>2600000</v>
      </c>
      <c r="F8" s="630">
        <v>2400000</v>
      </c>
      <c r="G8" s="630">
        <v>2094320</v>
      </c>
      <c r="H8" s="283">
        <v>2000000</v>
      </c>
      <c r="I8" s="632" t="s">
        <v>62</v>
      </c>
      <c r="J8" s="283">
        <v>1000000</v>
      </c>
      <c r="K8" s="283">
        <v>1500000</v>
      </c>
      <c r="L8" s="283">
        <f t="shared" si="2"/>
        <v>2000000</v>
      </c>
      <c r="M8" s="283">
        <v>1977276</v>
      </c>
      <c r="N8" s="630">
        <f t="shared" si="3"/>
        <v>2000000</v>
      </c>
      <c r="O8" s="633">
        <f t="shared" si="4"/>
        <v>2000000</v>
      </c>
      <c r="P8" s="630">
        <v>2000000</v>
      </c>
      <c r="Q8" s="283">
        <v>1000000</v>
      </c>
      <c r="R8" s="283">
        <v>2400000</v>
      </c>
      <c r="S8" s="409"/>
      <c r="T8" s="283">
        <v>2400000</v>
      </c>
      <c r="U8" s="283">
        <v>2400000</v>
      </c>
      <c r="V8" s="283">
        <v>2000000</v>
      </c>
      <c r="W8" s="720">
        <v>2000000</v>
      </c>
      <c r="X8" s="758">
        <v>2000000</v>
      </c>
      <c r="Y8" s="908"/>
    </row>
    <row r="9" spans="1:25" ht="12.75" x14ac:dyDescent="0.2">
      <c r="A9" s="284" t="s">
        <v>297</v>
      </c>
      <c r="B9" s="281"/>
      <c r="C9" s="282"/>
      <c r="D9" s="630">
        <v>15000000</v>
      </c>
      <c r="E9" s="631">
        <v>2130000</v>
      </c>
      <c r="F9" s="630">
        <f>1170*15000-224*5000-101*10000</f>
        <v>15420000</v>
      </c>
      <c r="G9" s="630">
        <v>3520000</v>
      </c>
      <c r="H9" s="283">
        <v>5000000</v>
      </c>
      <c r="I9" s="632" t="s">
        <v>61</v>
      </c>
      <c r="J9" s="283">
        <v>775000</v>
      </c>
      <c r="K9" s="283">
        <f>1095000</f>
        <v>1095000</v>
      </c>
      <c r="L9" s="283">
        <f t="shared" si="2"/>
        <v>5000000</v>
      </c>
      <c r="M9" s="283">
        <v>1450000</v>
      </c>
      <c r="N9" s="630">
        <f t="shared" si="3"/>
        <v>5000000</v>
      </c>
      <c r="O9" s="633">
        <v>1500000</v>
      </c>
      <c r="P9" s="630">
        <v>1500000</v>
      </c>
      <c r="Q9" s="283">
        <v>140000</v>
      </c>
      <c r="R9" s="283"/>
      <c r="S9" s="409"/>
      <c r="T9" s="283"/>
      <c r="U9" s="283"/>
      <c r="V9" s="283"/>
      <c r="W9" s="720"/>
      <c r="X9" s="758"/>
      <c r="Y9" s="908"/>
    </row>
    <row r="10" spans="1:25" ht="12.75" x14ac:dyDescent="0.2">
      <c r="A10" s="280" t="s">
        <v>298</v>
      </c>
      <c r="B10" s="281">
        <v>500000</v>
      </c>
      <c r="C10" s="282">
        <v>0</v>
      </c>
      <c r="D10" s="630">
        <f>B10</f>
        <v>500000</v>
      </c>
      <c r="E10" s="631">
        <v>200000</v>
      </c>
      <c r="F10" s="630">
        <v>0</v>
      </c>
      <c r="G10" s="630"/>
      <c r="H10" s="283">
        <v>0</v>
      </c>
      <c r="I10" s="632" t="s">
        <v>61</v>
      </c>
      <c r="J10" s="283"/>
      <c r="K10" s="283"/>
      <c r="L10" s="283">
        <f t="shared" si="2"/>
        <v>0</v>
      </c>
      <c r="M10" s="283">
        <f t="shared" ref="M10:M16" si="6">K10</f>
        <v>0</v>
      </c>
      <c r="N10" s="630">
        <f t="shared" si="3"/>
        <v>0</v>
      </c>
      <c r="O10" s="633">
        <f t="shared" si="4"/>
        <v>0</v>
      </c>
      <c r="P10" s="630">
        <v>0</v>
      </c>
      <c r="Q10" s="283"/>
      <c r="R10" s="283">
        <f t="shared" si="0"/>
        <v>0</v>
      </c>
      <c r="S10" s="409"/>
      <c r="T10" s="283">
        <f t="shared" si="1"/>
        <v>0</v>
      </c>
      <c r="U10" s="283"/>
      <c r="V10" s="283"/>
      <c r="W10" s="720"/>
      <c r="X10" s="758"/>
      <c r="Y10" s="908"/>
    </row>
    <row r="11" spans="1:25" ht="12.75" x14ac:dyDescent="0.2">
      <c r="A11" s="284" t="s">
        <v>299</v>
      </c>
      <c r="B11" s="281">
        <v>1500000</v>
      </c>
      <c r="C11" s="282">
        <v>0</v>
      </c>
      <c r="D11" s="630">
        <f>B11</f>
        <v>1500000</v>
      </c>
      <c r="E11" s="631">
        <v>500000</v>
      </c>
      <c r="F11" s="630">
        <v>1500000</v>
      </c>
      <c r="G11" s="630">
        <v>0</v>
      </c>
      <c r="H11" s="283">
        <v>1500000</v>
      </c>
      <c r="I11" s="632" t="s">
        <v>61</v>
      </c>
      <c r="J11" s="283"/>
      <c r="K11" s="283">
        <v>300000</v>
      </c>
      <c r="L11" s="283">
        <f t="shared" si="2"/>
        <v>1500000</v>
      </c>
      <c r="M11" s="283">
        <f t="shared" si="6"/>
        <v>300000</v>
      </c>
      <c r="N11" s="630">
        <f t="shared" si="3"/>
        <v>1500000</v>
      </c>
      <c r="O11" s="633">
        <v>600000</v>
      </c>
      <c r="P11" s="630">
        <v>600000</v>
      </c>
      <c r="Q11" s="283"/>
      <c r="R11" s="283">
        <f t="shared" si="0"/>
        <v>600000</v>
      </c>
      <c r="S11" s="409"/>
      <c r="T11" s="283">
        <f t="shared" si="1"/>
        <v>600000</v>
      </c>
      <c r="U11" s="283">
        <v>600000</v>
      </c>
      <c r="V11" s="283">
        <v>0</v>
      </c>
      <c r="W11" s="720"/>
      <c r="X11" s="758"/>
      <c r="Y11" s="908"/>
    </row>
    <row r="12" spans="1:25" ht="12.75" x14ac:dyDescent="0.2">
      <c r="A12" s="891" t="s">
        <v>300</v>
      </c>
      <c r="B12" s="281">
        <v>1990000</v>
      </c>
      <c r="C12" s="282">
        <v>1990000</v>
      </c>
      <c r="D12" s="630">
        <f>B12</f>
        <v>1990000</v>
      </c>
      <c r="E12" s="631">
        <v>1990000</v>
      </c>
      <c r="F12" s="630">
        <v>1990000</v>
      </c>
      <c r="G12" s="630">
        <v>0</v>
      </c>
      <c r="H12" s="283">
        <v>0</v>
      </c>
      <c r="I12" s="632" t="s">
        <v>60</v>
      </c>
      <c r="J12" s="283"/>
      <c r="K12" s="283"/>
      <c r="L12" s="283">
        <f t="shared" si="2"/>
        <v>0</v>
      </c>
      <c r="M12" s="283">
        <v>4000000</v>
      </c>
      <c r="N12" s="630">
        <f t="shared" si="3"/>
        <v>0</v>
      </c>
      <c r="O12" s="633">
        <f t="shared" si="4"/>
        <v>0</v>
      </c>
      <c r="P12" s="630">
        <v>0</v>
      </c>
      <c r="Q12" s="283"/>
      <c r="R12" s="283">
        <f t="shared" si="0"/>
        <v>0</v>
      </c>
      <c r="S12" s="409"/>
      <c r="T12" s="283">
        <f t="shared" si="1"/>
        <v>0</v>
      </c>
      <c r="U12" s="283"/>
      <c r="V12" s="283"/>
      <c r="W12" s="720"/>
      <c r="X12" s="758"/>
      <c r="Y12" s="908"/>
    </row>
    <row r="13" spans="1:25" s="635" customFormat="1" ht="12.75" x14ac:dyDescent="0.2">
      <c r="A13" s="285" t="s">
        <v>306</v>
      </c>
      <c r="B13" s="286">
        <v>2000000</v>
      </c>
      <c r="C13" s="287">
        <v>240000</v>
      </c>
      <c r="D13" s="634">
        <v>2400000</v>
      </c>
      <c r="E13" s="634">
        <v>2275000</v>
      </c>
      <c r="F13" s="630">
        <v>2400000</v>
      </c>
      <c r="G13" s="630">
        <v>3000000</v>
      </c>
      <c r="H13" s="283">
        <v>2400000</v>
      </c>
      <c r="I13" s="632" t="s">
        <v>60</v>
      </c>
      <c r="J13" s="283">
        <f>264620+81300+167000+162850+180900+77300</f>
        <v>933970</v>
      </c>
      <c r="K13" s="283">
        <f>264620+81300+167000+162850+135000+235130+180900+77300+235000+169050</f>
        <v>1708150</v>
      </c>
      <c r="L13" s="283">
        <f t="shared" si="2"/>
        <v>2400000</v>
      </c>
      <c r="M13" s="283">
        <v>1784350</v>
      </c>
      <c r="N13" s="630">
        <f t="shared" si="3"/>
        <v>2400000</v>
      </c>
      <c r="O13" s="633">
        <v>3000000</v>
      </c>
      <c r="P13" s="630">
        <v>3000000</v>
      </c>
      <c r="Q13" s="283">
        <v>1081780</v>
      </c>
      <c r="R13" s="283">
        <f t="shared" si="0"/>
        <v>3000000</v>
      </c>
      <c r="S13" s="410"/>
      <c r="T13" s="283">
        <f t="shared" si="1"/>
        <v>3000000</v>
      </c>
      <c r="U13" s="283">
        <v>3000000</v>
      </c>
      <c r="V13" s="537">
        <v>0</v>
      </c>
      <c r="W13" s="721"/>
      <c r="X13" s="758"/>
      <c r="Y13" s="917"/>
    </row>
    <row r="14" spans="1:25" ht="12.75" x14ac:dyDescent="0.2">
      <c r="A14" s="284" t="s">
        <v>301</v>
      </c>
      <c r="B14" s="281">
        <v>730000</v>
      </c>
      <c r="C14" s="282">
        <v>730000</v>
      </c>
      <c r="D14" s="630">
        <f>B14</f>
        <v>730000</v>
      </c>
      <c r="E14" s="631">
        <v>730000</v>
      </c>
      <c r="F14" s="630">
        <v>730000</v>
      </c>
      <c r="G14" s="630">
        <v>505000</v>
      </c>
      <c r="H14" s="283">
        <v>730000</v>
      </c>
      <c r="I14" s="632" t="s">
        <v>58</v>
      </c>
      <c r="J14" s="283">
        <v>665000</v>
      </c>
      <c r="K14" s="283">
        <v>665000</v>
      </c>
      <c r="L14" s="283">
        <f t="shared" si="2"/>
        <v>730000</v>
      </c>
      <c r="M14" s="283">
        <f t="shared" si="6"/>
        <v>665000</v>
      </c>
      <c r="N14" s="630">
        <v>990000</v>
      </c>
      <c r="O14" s="633">
        <f t="shared" si="4"/>
        <v>990000</v>
      </c>
      <c r="P14" s="630">
        <v>990000</v>
      </c>
      <c r="Q14" s="283">
        <v>985000</v>
      </c>
      <c r="R14" s="283">
        <v>1000000</v>
      </c>
      <c r="S14" s="409"/>
      <c r="T14" s="283">
        <v>600000</v>
      </c>
      <c r="U14" s="283">
        <v>600000</v>
      </c>
      <c r="V14" s="283"/>
      <c r="W14" s="720">
        <v>200000</v>
      </c>
      <c r="X14" s="758"/>
      <c r="Y14" s="908"/>
    </row>
    <row r="15" spans="1:25" ht="12.75" x14ac:dyDescent="0.2">
      <c r="A15" s="284" t="s">
        <v>302</v>
      </c>
      <c r="B15" s="281">
        <f>180000-150000</f>
        <v>30000</v>
      </c>
      <c r="C15" s="282">
        <v>0</v>
      </c>
      <c r="D15" s="630">
        <v>30000</v>
      </c>
      <c r="E15" s="631"/>
      <c r="F15" s="630">
        <v>30000</v>
      </c>
      <c r="G15" s="630">
        <v>0</v>
      </c>
      <c r="H15" s="283">
        <v>30000</v>
      </c>
      <c r="I15" s="632" t="s">
        <v>59</v>
      </c>
      <c r="J15" s="283">
        <v>0</v>
      </c>
      <c r="K15" s="283"/>
      <c r="L15" s="283">
        <f t="shared" si="2"/>
        <v>30000</v>
      </c>
      <c r="M15" s="283">
        <f t="shared" si="6"/>
        <v>0</v>
      </c>
      <c r="N15" s="630">
        <f t="shared" si="3"/>
        <v>30000</v>
      </c>
      <c r="O15" s="633">
        <f t="shared" si="4"/>
        <v>30000</v>
      </c>
      <c r="P15" s="630">
        <v>30000</v>
      </c>
      <c r="Q15" s="283"/>
      <c r="R15" s="283">
        <f t="shared" si="0"/>
        <v>30000</v>
      </c>
      <c r="S15" s="409"/>
      <c r="T15" s="283">
        <f t="shared" si="1"/>
        <v>30000</v>
      </c>
      <c r="U15" s="283">
        <v>30000</v>
      </c>
      <c r="V15" s="283"/>
      <c r="W15" s="720"/>
      <c r="X15" s="758"/>
      <c r="Y15" s="908"/>
    </row>
    <row r="16" spans="1:25" ht="12.75" x14ac:dyDescent="0.2">
      <c r="A16" s="280" t="s">
        <v>303</v>
      </c>
      <c r="B16" s="281">
        <v>1000000</v>
      </c>
      <c r="C16" s="282">
        <v>100000</v>
      </c>
      <c r="D16" s="630">
        <f>B16</f>
        <v>1000000</v>
      </c>
      <c r="E16" s="631">
        <v>610000</v>
      </c>
      <c r="F16" s="630">
        <v>1000000</v>
      </c>
      <c r="G16" s="630">
        <v>580000</v>
      </c>
      <c r="H16" s="283">
        <v>1000000</v>
      </c>
      <c r="I16" s="632" t="s">
        <v>59</v>
      </c>
      <c r="J16" s="283"/>
      <c r="K16" s="283"/>
      <c r="L16" s="283">
        <f t="shared" si="2"/>
        <v>1000000</v>
      </c>
      <c r="M16" s="283">
        <f t="shared" si="6"/>
        <v>0</v>
      </c>
      <c r="N16" s="630">
        <f t="shared" si="3"/>
        <v>1000000</v>
      </c>
      <c r="O16" s="633">
        <f t="shared" si="4"/>
        <v>1000000</v>
      </c>
      <c r="P16" s="630">
        <v>1000000</v>
      </c>
      <c r="Q16" s="283">
        <v>530000</v>
      </c>
      <c r="R16" s="283">
        <f t="shared" si="0"/>
        <v>1000000</v>
      </c>
      <c r="S16" s="409"/>
      <c r="T16" s="283">
        <f t="shared" si="1"/>
        <v>1000000</v>
      </c>
      <c r="U16" s="283">
        <v>1000000</v>
      </c>
      <c r="V16" s="283"/>
      <c r="W16" s="720">
        <v>1000000</v>
      </c>
      <c r="X16" s="758">
        <v>1000000</v>
      </c>
      <c r="Y16" s="908"/>
    </row>
    <row r="17" spans="1:27" ht="12.75" x14ac:dyDescent="0.2">
      <c r="A17" s="912" t="s">
        <v>804</v>
      </c>
      <c r="B17" s="281"/>
      <c r="C17" s="282"/>
      <c r="D17" s="630"/>
      <c r="E17" s="631"/>
      <c r="F17" s="630"/>
      <c r="G17" s="630"/>
      <c r="H17" s="283"/>
      <c r="I17" s="632"/>
      <c r="J17" s="283"/>
      <c r="K17" s="283"/>
      <c r="L17" s="283"/>
      <c r="M17" s="283"/>
      <c r="N17" s="630"/>
      <c r="O17" s="633"/>
      <c r="P17" s="630"/>
      <c r="Q17" s="283"/>
      <c r="R17" s="283"/>
      <c r="S17" s="409"/>
      <c r="T17" s="283"/>
      <c r="U17" s="698"/>
      <c r="V17" s="283"/>
      <c r="W17" s="720"/>
      <c r="X17" s="758"/>
      <c r="Y17" s="908"/>
    </row>
    <row r="18" spans="1:27" ht="12.75" x14ac:dyDescent="0.2">
      <c r="A18" s="912" t="s">
        <v>805</v>
      </c>
      <c r="B18" s="281"/>
      <c r="C18" s="282"/>
      <c r="D18" s="630"/>
      <c r="E18" s="631"/>
      <c r="F18" s="630"/>
      <c r="G18" s="630"/>
      <c r="H18" s="283"/>
      <c r="I18" s="632"/>
      <c r="J18" s="283"/>
      <c r="K18" s="283"/>
      <c r="L18" s="283"/>
      <c r="M18" s="283"/>
      <c r="N18" s="630"/>
      <c r="O18" s="633"/>
      <c r="P18" s="630"/>
      <c r="Q18" s="283"/>
      <c r="R18" s="283"/>
      <c r="S18" s="409"/>
      <c r="T18" s="283"/>
      <c r="U18" s="698"/>
      <c r="V18" s="283"/>
      <c r="W18" s="720"/>
      <c r="X18" s="758"/>
      <c r="Y18" s="908"/>
    </row>
    <row r="19" spans="1:27" ht="12.75" x14ac:dyDescent="0.2">
      <c r="A19" s="913" t="s">
        <v>803</v>
      </c>
      <c r="B19" s="894">
        <f t="shared" ref="B19:I19" si="7">SUM(B2:B16)</f>
        <v>14197000</v>
      </c>
      <c r="C19" s="894">
        <f t="shared" si="7"/>
        <v>8484660</v>
      </c>
      <c r="D19" s="894">
        <f t="shared" si="7"/>
        <v>30580000</v>
      </c>
      <c r="E19" s="895">
        <f t="shared" si="7"/>
        <v>16145280</v>
      </c>
      <c r="F19" s="894">
        <f t="shared" si="7"/>
        <v>30809200</v>
      </c>
      <c r="G19" s="894">
        <f t="shared" si="7"/>
        <v>15857020</v>
      </c>
      <c r="H19" s="896">
        <f t="shared" si="7"/>
        <v>17980200</v>
      </c>
      <c r="I19" s="896">
        <f t="shared" si="7"/>
        <v>0</v>
      </c>
      <c r="J19" s="896">
        <f t="shared" ref="J19:T19" si="8">SUM(J2:J16)</f>
        <v>7342470</v>
      </c>
      <c r="K19" s="896">
        <f t="shared" si="8"/>
        <v>9626650</v>
      </c>
      <c r="L19" s="896">
        <f t="shared" si="8"/>
        <v>18733440</v>
      </c>
      <c r="M19" s="896">
        <f t="shared" si="8"/>
        <v>15076826</v>
      </c>
      <c r="N19" s="897">
        <f t="shared" si="8"/>
        <v>18993440</v>
      </c>
      <c r="O19" s="898">
        <f t="shared" si="8"/>
        <v>15693440</v>
      </c>
      <c r="P19" s="898">
        <f t="shared" si="8"/>
        <v>15693440</v>
      </c>
      <c r="Q19" s="898">
        <f t="shared" si="8"/>
        <v>8522055</v>
      </c>
      <c r="R19" s="898">
        <f t="shared" si="8"/>
        <v>15453440</v>
      </c>
      <c r="S19" s="899">
        <f t="shared" si="8"/>
        <v>1000000</v>
      </c>
      <c r="T19" s="899">
        <f t="shared" si="8"/>
        <v>15353440</v>
      </c>
      <c r="U19" s="698">
        <f>SUM(U2:U16)</f>
        <v>14953440</v>
      </c>
      <c r="V19" s="698">
        <f t="shared" ref="V19" si="9">SUM(V2:V16)</f>
        <v>8100000</v>
      </c>
      <c r="W19" s="900"/>
      <c r="X19" s="901"/>
      <c r="Y19" s="918"/>
      <c r="Z19" s="915" t="s">
        <v>815</v>
      </c>
      <c r="AA19" s="915"/>
    </row>
    <row r="20" spans="1:27" ht="12.75" x14ac:dyDescent="0.2">
      <c r="A20" s="912" t="s">
        <v>806</v>
      </c>
      <c r="B20" s="281"/>
      <c r="C20" s="281"/>
      <c r="D20" s="281"/>
      <c r="E20" s="281"/>
      <c r="F20" s="281"/>
      <c r="G20" s="281"/>
      <c r="H20" s="696"/>
      <c r="I20" s="696"/>
      <c r="J20" s="696"/>
      <c r="K20" s="696"/>
      <c r="L20" s="696"/>
      <c r="M20" s="696"/>
      <c r="N20" s="630"/>
      <c r="O20" s="633"/>
      <c r="P20" s="633"/>
      <c r="Q20" s="633"/>
      <c r="R20" s="633"/>
      <c r="S20" s="697"/>
      <c r="T20" s="697"/>
      <c r="U20" s="283"/>
      <c r="V20" s="283"/>
      <c r="W20" s="892"/>
      <c r="X20" s="893"/>
      <c r="Y20" s="908"/>
    </row>
    <row r="21" spans="1:27" ht="18" customHeight="1" x14ac:dyDescent="0.2">
      <c r="A21" s="914" t="s">
        <v>807</v>
      </c>
      <c r="B21" s="45"/>
      <c r="C21" s="903"/>
      <c r="D21" s="45"/>
      <c r="E21" s="45"/>
      <c r="F21" s="45"/>
      <c r="G21" s="45"/>
      <c r="H21" s="409"/>
      <c r="I21" s="45"/>
      <c r="J21" s="409"/>
      <c r="K21" s="45"/>
      <c r="L21" s="45"/>
      <c r="M21" s="45"/>
      <c r="N21" s="45"/>
      <c r="O21" s="904"/>
      <c r="P21" s="905"/>
      <c r="Q21" s="409"/>
      <c r="R21" s="409"/>
      <c r="S21" s="409"/>
      <c r="T21" s="906">
        <v>16269609</v>
      </c>
      <c r="U21" s="409"/>
      <c r="V21" s="907">
        <v>8320992</v>
      </c>
      <c r="W21" s="45"/>
      <c r="X21" s="908"/>
      <c r="Y21" s="908"/>
    </row>
    <row r="22" spans="1:27" ht="12.75" x14ac:dyDescent="0.2">
      <c r="A22" s="914" t="s">
        <v>808</v>
      </c>
      <c r="B22" s="45"/>
      <c r="C22" s="903"/>
      <c r="D22" s="45"/>
      <c r="E22" s="45"/>
      <c r="F22" s="45"/>
      <c r="G22" s="45"/>
      <c r="H22" s="409"/>
      <c r="I22" s="45"/>
      <c r="J22" s="409"/>
      <c r="K22" s="905"/>
      <c r="L22" s="45"/>
      <c r="M22" s="45"/>
      <c r="N22" s="45"/>
      <c r="O22" s="904"/>
      <c r="P22" s="45"/>
      <c r="Q22" s="409"/>
      <c r="R22" s="409"/>
      <c r="S22" s="409"/>
      <c r="T22" s="45" t="s">
        <v>633</v>
      </c>
      <c r="U22" s="409"/>
      <c r="V22" s="909" t="s">
        <v>721</v>
      </c>
      <c r="W22" s="45"/>
      <c r="X22" s="908"/>
      <c r="Y22" s="908"/>
    </row>
    <row r="23" spans="1:27" ht="12.75" x14ac:dyDescent="0.2">
      <c r="A23" s="914" t="s">
        <v>809</v>
      </c>
      <c r="B23" s="45"/>
      <c r="C23" s="903"/>
      <c r="D23" s="45"/>
      <c r="E23" s="45"/>
      <c r="F23" s="45"/>
      <c r="G23" s="45"/>
      <c r="H23" s="409"/>
      <c r="I23" s="45"/>
      <c r="J23" s="409"/>
      <c r="K23" s="45"/>
      <c r="L23" s="45"/>
      <c r="M23" s="45"/>
      <c r="N23" s="45"/>
      <c r="O23" s="904"/>
      <c r="P23" s="45"/>
      <c r="Q23" s="409"/>
      <c r="R23" s="409"/>
      <c r="S23" s="409"/>
      <c r="T23" s="45"/>
      <c r="U23" s="283"/>
      <c r="V23" s="910" t="s">
        <v>722</v>
      </c>
      <c r="W23" s="45"/>
      <c r="X23" s="908"/>
      <c r="Y23" s="908"/>
    </row>
    <row r="24" spans="1:27" ht="12.75" x14ac:dyDescent="0.2">
      <c r="A24" s="911" t="s">
        <v>814</v>
      </c>
      <c r="B24" s="45"/>
      <c r="C24" s="903"/>
      <c r="D24" s="45"/>
      <c r="E24" s="45"/>
      <c r="F24" s="45"/>
      <c r="G24" s="45"/>
      <c r="H24" s="409"/>
      <c r="I24" s="45"/>
      <c r="J24" s="409"/>
      <c r="K24" s="45"/>
      <c r="L24" s="45"/>
      <c r="M24" s="45"/>
      <c r="N24" s="45"/>
      <c r="O24" s="904"/>
      <c r="P24" s="45"/>
      <c r="Q24" s="409"/>
      <c r="R24" s="409"/>
      <c r="S24" s="409"/>
      <c r="T24" s="45"/>
      <c r="U24" s="283"/>
      <c r="V24" s="910"/>
      <c r="W24" s="45"/>
      <c r="X24" s="908"/>
      <c r="Y24" s="908"/>
    </row>
    <row r="25" spans="1:27" ht="12.75" x14ac:dyDescent="0.2">
      <c r="A25" s="911" t="s">
        <v>810</v>
      </c>
      <c r="B25" s="45"/>
      <c r="C25" s="903"/>
      <c r="D25" s="45"/>
      <c r="E25" s="45"/>
      <c r="F25" s="45"/>
      <c r="G25" s="45"/>
      <c r="H25" s="409"/>
      <c r="I25" s="45"/>
      <c r="J25" s="409"/>
      <c r="K25" s="45"/>
      <c r="L25" s="45"/>
      <c r="M25" s="45"/>
      <c r="N25" s="45"/>
      <c r="O25" s="904"/>
      <c r="P25" s="45"/>
      <c r="Q25" s="409"/>
      <c r="R25" s="409"/>
      <c r="S25" s="409"/>
      <c r="T25" s="45"/>
      <c r="U25" s="409"/>
      <c r="V25" s="910"/>
      <c r="W25" s="45"/>
      <c r="X25" s="908"/>
      <c r="Y25" s="908"/>
    </row>
    <row r="26" spans="1:27" ht="12.75" x14ac:dyDescent="0.2">
      <c r="A26" s="911" t="s">
        <v>811</v>
      </c>
      <c r="B26" s="45"/>
      <c r="C26" s="903"/>
      <c r="D26" s="45"/>
      <c r="E26" s="45"/>
      <c r="F26" s="45"/>
      <c r="G26" s="45"/>
      <c r="H26" s="409"/>
      <c r="I26" s="45"/>
      <c r="J26" s="409"/>
      <c r="K26" s="45"/>
      <c r="L26" s="45"/>
      <c r="M26" s="45"/>
      <c r="N26" s="45"/>
      <c r="O26" s="904"/>
      <c r="P26" s="45"/>
      <c r="Q26" s="409"/>
      <c r="R26" s="409"/>
      <c r="S26" s="409"/>
      <c r="T26" s="45"/>
      <c r="U26" s="409"/>
      <c r="V26" s="910"/>
      <c r="W26" s="45"/>
      <c r="X26" s="908"/>
      <c r="Y26" s="908"/>
    </row>
    <row r="27" spans="1:27" ht="12.75" x14ac:dyDescent="0.2">
      <c r="A27" s="911" t="s">
        <v>812</v>
      </c>
      <c r="B27" s="45"/>
      <c r="C27" s="903"/>
      <c r="D27" s="45"/>
      <c r="E27" s="45"/>
      <c r="F27" s="45"/>
      <c r="G27" s="45"/>
      <c r="H27" s="409"/>
      <c r="I27" s="45"/>
      <c r="J27" s="409"/>
      <c r="K27" s="45"/>
      <c r="L27" s="45"/>
      <c r="M27" s="45"/>
      <c r="N27" s="45"/>
      <c r="O27" s="904"/>
      <c r="P27" s="45"/>
      <c r="Q27" s="409"/>
      <c r="R27" s="409"/>
      <c r="S27" s="409"/>
      <c r="T27" s="45"/>
      <c r="U27" s="409"/>
      <c r="V27" s="910"/>
      <c r="W27" s="45"/>
      <c r="X27" s="908"/>
      <c r="Y27" s="908"/>
    </row>
    <row r="28" spans="1:27" x14ac:dyDescent="0.2">
      <c r="A28" s="902" t="s">
        <v>813</v>
      </c>
      <c r="Y28" s="908">
        <f>Y2+Y3+Y4+Y5+Y6+Y7+Y8+Y9+Y10+Y11+Y12+Y13+Y14+Y15+Y16+Y17+Y18+Y19+Y20+Y21+Y22+Y23+Y24+Y25+Y26+Y27</f>
        <v>0</v>
      </c>
    </row>
    <row r="29" spans="1:27" x14ac:dyDescent="0.2">
      <c r="Y29" s="757">
        <v>8000000</v>
      </c>
    </row>
    <row r="117" spans="28:29" x14ac:dyDescent="0.2">
      <c r="AB117" s="411"/>
      <c r="AC117" s="411"/>
    </row>
    <row r="118" spans="28:29" x14ac:dyDescent="0.2">
      <c r="AB118" s="45"/>
      <c r="AC118" s="45"/>
    </row>
    <row r="119" spans="28:29" x14ac:dyDescent="0.2">
      <c r="AB119" s="45"/>
      <c r="AC119" s="45"/>
    </row>
    <row r="120" spans="28:29" x14ac:dyDescent="0.2">
      <c r="AB120" s="45"/>
      <c r="AC120" s="45"/>
    </row>
    <row r="121" spans="28:29" x14ac:dyDescent="0.2">
      <c r="AB121" s="45"/>
      <c r="AC121" s="45"/>
    </row>
    <row r="122" spans="28:29" x14ac:dyDescent="0.2">
      <c r="AB122" s="45"/>
      <c r="AC122" s="45"/>
    </row>
    <row r="123" spans="28:29" x14ac:dyDescent="0.2">
      <c r="AB123" s="45"/>
      <c r="AC123" s="45"/>
    </row>
    <row r="124" spans="28:29" x14ac:dyDescent="0.2">
      <c r="AB124" s="45"/>
      <c r="AC124" s="45"/>
    </row>
    <row r="125" spans="28:29" x14ac:dyDescent="0.2">
      <c r="AB125" s="45"/>
      <c r="AC125" s="45"/>
    </row>
    <row r="126" spans="28:29" x14ac:dyDescent="0.2">
      <c r="AB126" s="45"/>
      <c r="AC126" s="45"/>
    </row>
    <row r="127" spans="28:29" x14ac:dyDescent="0.2">
      <c r="AB127" s="45"/>
      <c r="AC127" s="45"/>
    </row>
    <row r="128" spans="28:29" x14ac:dyDescent="0.2">
      <c r="AB128" s="45"/>
      <c r="AC128" s="45"/>
    </row>
    <row r="129" spans="28:29" x14ac:dyDescent="0.2">
      <c r="AB129" s="45"/>
      <c r="AC129" s="45"/>
    </row>
    <row r="130" spans="28:29" x14ac:dyDescent="0.2">
      <c r="AB130" s="45"/>
      <c r="AC130" s="45"/>
    </row>
    <row r="131" spans="28:29" x14ac:dyDescent="0.2">
      <c r="AB131" s="45"/>
      <c r="AC131" s="45"/>
    </row>
    <row r="132" spans="28:29" x14ac:dyDescent="0.2">
      <c r="AB132" s="45"/>
      <c r="AC132" s="45"/>
    </row>
    <row r="133" spans="28:29" x14ac:dyDescent="0.2">
      <c r="AB133" s="45"/>
      <c r="AC133" s="45"/>
    </row>
    <row r="134" spans="28:29" x14ac:dyDescent="0.2">
      <c r="AB134" s="45"/>
      <c r="AC134" s="45"/>
    </row>
    <row r="135" spans="28:29" x14ac:dyDescent="0.2">
      <c r="AB135" s="45"/>
      <c r="AC135" s="45"/>
    </row>
    <row r="136" spans="28:29" x14ac:dyDescent="0.2">
      <c r="AB136" s="45"/>
      <c r="AC136" s="45"/>
    </row>
    <row r="137" spans="28:29" x14ac:dyDescent="0.2">
      <c r="AB137" s="45"/>
      <c r="AC137" s="45"/>
    </row>
    <row r="138" spans="28:29" x14ac:dyDescent="0.2">
      <c r="AB138" s="45"/>
      <c r="AC138" s="45"/>
    </row>
    <row r="139" spans="28:29" x14ac:dyDescent="0.2">
      <c r="AB139" s="45"/>
      <c r="AC139" s="45"/>
    </row>
    <row r="140" spans="28:29" x14ac:dyDescent="0.2">
      <c r="AB140" s="45"/>
      <c r="AC140" s="45"/>
    </row>
    <row r="141" spans="28:29" x14ac:dyDescent="0.2">
      <c r="AB141" s="45"/>
      <c r="AC141" s="45"/>
    </row>
    <row r="142" spans="28:29" x14ac:dyDescent="0.2">
      <c r="AB142" s="45"/>
      <c r="AC142" s="45"/>
    </row>
    <row r="143" spans="28:29" x14ac:dyDescent="0.2">
      <c r="AB143" s="45"/>
      <c r="AC143" s="45"/>
    </row>
    <row r="144" spans="28:29" x14ac:dyDescent="0.2">
      <c r="AB144" s="45"/>
      <c r="AC144" s="45"/>
    </row>
    <row r="145" spans="28:29" x14ac:dyDescent="0.2">
      <c r="AB145" s="45"/>
      <c r="AC145" s="45"/>
    </row>
  </sheetData>
  <phoneticPr fontId="48" type="noConversion"/>
  <printOptions horizontalCentered="1" gridLines="1"/>
  <pageMargins left="0.28000000000000003" right="0.28999999999999998" top="0.96875" bottom="0.45" header="0.33" footer="0.21"/>
  <pageSetup paperSize="9" orientation="landscape" r:id="rId1"/>
  <headerFooter alignWithMargins="0">
    <oddHeader xml:space="preserve">&amp;L&amp;P/&amp;N&amp;C&amp;"Times New Roman,Félkövér"Céljellegű támogatások bemutatása
2018
&amp;R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S388"/>
  <sheetViews>
    <sheetView zoomScale="115" zoomScaleNormal="115" workbookViewId="0">
      <pane xSplit="2" ySplit="1" topLeftCell="AH127" activePane="bottomRight" state="frozen"/>
      <selection activeCell="O53" sqref="O53"/>
      <selection pane="topRight" activeCell="O53" sqref="O53"/>
      <selection pane="bottomLeft" activeCell="O53" sqref="O53"/>
      <selection pane="bottomRight" activeCell="AN29" sqref="AN29"/>
    </sheetView>
  </sheetViews>
  <sheetFormatPr defaultColWidth="12.85546875" defaultRowHeight="12.75" x14ac:dyDescent="0.2"/>
  <cols>
    <col min="1" max="1" width="20.85546875" style="15" customWidth="1"/>
    <col min="2" max="2" width="56" style="15" hidden="1" customWidth="1"/>
    <col min="3" max="3" width="16.7109375" style="10" customWidth="1"/>
    <col min="4" max="4" width="14.42578125" style="146" customWidth="1"/>
    <col min="5" max="5" width="20.140625" style="37" customWidth="1"/>
    <col min="6" max="6" width="17.7109375" style="108" customWidth="1"/>
    <col min="7" max="7" width="16.28515625" style="10" customWidth="1"/>
    <col min="8" max="8" width="16.28515625" style="118" customWidth="1"/>
    <col min="9" max="9" width="16.28515625" style="10" customWidth="1"/>
    <col min="10" max="10" width="17" style="15" customWidth="1"/>
    <col min="11" max="11" width="12.85546875" style="15" customWidth="1"/>
    <col min="12" max="13" width="17.85546875" style="37" customWidth="1"/>
    <col min="14" max="14" width="16.28515625" style="37" customWidth="1"/>
    <col min="15" max="15" width="13.7109375" style="37" customWidth="1"/>
    <col min="16" max="16" width="17" style="15" customWidth="1"/>
    <col min="17" max="17" width="12.85546875" style="15" customWidth="1"/>
    <col min="18" max="18" width="18.28515625" style="183" customWidth="1"/>
    <col min="19" max="19" width="17.7109375" style="83" customWidth="1"/>
    <col min="20" max="20" width="12.85546875" style="15" customWidth="1"/>
    <col min="21" max="21" width="16.28515625" style="37" customWidth="1"/>
    <col min="22" max="22" width="14.5703125" style="200" customWidth="1"/>
    <col min="23" max="23" width="42.5703125" style="200" customWidth="1"/>
    <col min="24" max="24" width="20" style="239" customWidth="1"/>
    <col min="25" max="26" width="20" style="335" customWidth="1"/>
    <col min="27" max="27" width="20.85546875" style="15" customWidth="1"/>
    <col min="28" max="28" width="42.5703125" style="200" customWidth="1"/>
    <col min="29" max="29" width="20" style="239" customWidth="1"/>
    <col min="30" max="30" width="16.28515625" style="15" customWidth="1"/>
    <col min="31" max="31" width="15.28515625" style="37" customWidth="1"/>
    <col min="32" max="32" width="43.85546875" style="37" customWidth="1"/>
    <col min="33" max="33" width="19.28515625" style="37" customWidth="1"/>
    <col min="34" max="34" width="43.85546875" style="37" customWidth="1"/>
    <col min="35" max="35" width="17.42578125" style="200" hidden="1" customWidth="1"/>
    <col min="36" max="36" width="15.28515625" style="740" bestFit="1" customWidth="1"/>
    <col min="37" max="37" width="17.42578125" style="796" bestFit="1" customWidth="1"/>
    <col min="38" max="38" width="15.28515625" style="684" bestFit="1" customWidth="1"/>
    <col min="39" max="39" width="8.28515625" style="684" customWidth="1"/>
    <col min="40" max="40" width="15.28515625" style="684" bestFit="1" customWidth="1"/>
    <col min="41" max="43" width="12.85546875" style="684"/>
    <col min="44" max="257" width="12.85546875" style="15"/>
    <col min="258" max="258" width="20.85546875" style="15" customWidth="1"/>
    <col min="259" max="259" width="56" style="15" bestFit="1" customWidth="1"/>
    <col min="260" max="260" width="15.85546875" style="15" customWidth="1"/>
    <col min="261" max="261" width="14.7109375" style="15" customWidth="1"/>
    <col min="262" max="262" width="17.5703125" style="15" customWidth="1"/>
    <col min="263" max="263" width="14.28515625" style="15" customWidth="1"/>
    <col min="264" max="264" width="12.42578125" style="15" customWidth="1"/>
    <col min="265" max="265" width="16.7109375" style="15" customWidth="1"/>
    <col min="266" max="266" width="14.42578125" style="15" customWidth="1"/>
    <col min="267" max="267" width="20.140625" style="15" customWidth="1"/>
    <col min="268" max="268" width="17.7109375" style="15" customWidth="1"/>
    <col min="269" max="269" width="16.28515625" style="15" customWidth="1"/>
    <col min="270" max="270" width="17" style="15" customWidth="1"/>
    <col min="271" max="513" width="12.85546875" style="15"/>
    <col min="514" max="514" width="20.85546875" style="15" customWidth="1"/>
    <col min="515" max="515" width="56" style="15" bestFit="1" customWidth="1"/>
    <col min="516" max="516" width="15.85546875" style="15" customWidth="1"/>
    <col min="517" max="517" width="14.7109375" style="15" customWidth="1"/>
    <col min="518" max="518" width="17.5703125" style="15" customWidth="1"/>
    <col min="519" max="519" width="14.28515625" style="15" customWidth="1"/>
    <col min="520" max="520" width="12.42578125" style="15" customWidth="1"/>
    <col min="521" max="521" width="16.7109375" style="15" customWidth="1"/>
    <col min="522" max="522" width="14.42578125" style="15" customWidth="1"/>
    <col min="523" max="523" width="20.140625" style="15" customWidth="1"/>
    <col min="524" max="524" width="17.7109375" style="15" customWidth="1"/>
    <col min="525" max="525" width="16.28515625" style="15" customWidth="1"/>
    <col min="526" max="526" width="17" style="15" customWidth="1"/>
    <col min="527" max="769" width="12.85546875" style="15"/>
    <col min="770" max="770" width="20.85546875" style="15" customWidth="1"/>
    <col min="771" max="771" width="56" style="15" bestFit="1" customWidth="1"/>
    <col min="772" max="772" width="15.85546875" style="15" customWidth="1"/>
    <col min="773" max="773" width="14.7109375" style="15" customWidth="1"/>
    <col min="774" max="774" width="17.5703125" style="15" customWidth="1"/>
    <col min="775" max="775" width="14.28515625" style="15" customWidth="1"/>
    <col min="776" max="776" width="12.42578125" style="15" customWidth="1"/>
    <col min="777" max="777" width="16.7109375" style="15" customWidth="1"/>
    <col min="778" max="778" width="14.42578125" style="15" customWidth="1"/>
    <col min="779" max="779" width="20.140625" style="15" customWidth="1"/>
    <col min="780" max="780" width="17.7109375" style="15" customWidth="1"/>
    <col min="781" max="781" width="16.28515625" style="15" customWidth="1"/>
    <col min="782" max="782" width="17" style="15" customWidth="1"/>
    <col min="783" max="1025" width="12.85546875" style="15"/>
    <col min="1026" max="1026" width="20.85546875" style="15" customWidth="1"/>
    <col min="1027" max="1027" width="56" style="15" bestFit="1" customWidth="1"/>
    <col min="1028" max="1028" width="15.85546875" style="15" customWidth="1"/>
    <col min="1029" max="1029" width="14.7109375" style="15" customWidth="1"/>
    <col min="1030" max="1030" width="17.5703125" style="15" customWidth="1"/>
    <col min="1031" max="1031" width="14.28515625" style="15" customWidth="1"/>
    <col min="1032" max="1032" width="12.42578125" style="15" customWidth="1"/>
    <col min="1033" max="1033" width="16.7109375" style="15" customWidth="1"/>
    <col min="1034" max="1034" width="14.42578125" style="15" customWidth="1"/>
    <col min="1035" max="1035" width="20.140625" style="15" customWidth="1"/>
    <col min="1036" max="1036" width="17.7109375" style="15" customWidth="1"/>
    <col min="1037" max="1037" width="16.28515625" style="15" customWidth="1"/>
    <col min="1038" max="1038" width="17" style="15" customWidth="1"/>
    <col min="1039" max="1281" width="12.85546875" style="15"/>
    <col min="1282" max="1282" width="20.85546875" style="15" customWidth="1"/>
    <col min="1283" max="1283" width="56" style="15" bestFit="1" customWidth="1"/>
    <col min="1284" max="1284" width="15.85546875" style="15" customWidth="1"/>
    <col min="1285" max="1285" width="14.7109375" style="15" customWidth="1"/>
    <col min="1286" max="1286" width="17.5703125" style="15" customWidth="1"/>
    <col min="1287" max="1287" width="14.28515625" style="15" customWidth="1"/>
    <col min="1288" max="1288" width="12.42578125" style="15" customWidth="1"/>
    <col min="1289" max="1289" width="16.7109375" style="15" customWidth="1"/>
    <col min="1290" max="1290" width="14.42578125" style="15" customWidth="1"/>
    <col min="1291" max="1291" width="20.140625" style="15" customWidth="1"/>
    <col min="1292" max="1292" width="17.7109375" style="15" customWidth="1"/>
    <col min="1293" max="1293" width="16.28515625" style="15" customWidth="1"/>
    <col min="1294" max="1294" width="17" style="15" customWidth="1"/>
    <col min="1295" max="1537" width="12.85546875" style="15"/>
    <col min="1538" max="1538" width="20.85546875" style="15" customWidth="1"/>
    <col min="1539" max="1539" width="56" style="15" bestFit="1" customWidth="1"/>
    <col min="1540" max="1540" width="15.85546875" style="15" customWidth="1"/>
    <col min="1541" max="1541" width="14.7109375" style="15" customWidth="1"/>
    <col min="1542" max="1542" width="17.5703125" style="15" customWidth="1"/>
    <col min="1543" max="1543" width="14.28515625" style="15" customWidth="1"/>
    <col min="1544" max="1544" width="12.42578125" style="15" customWidth="1"/>
    <col min="1545" max="1545" width="16.7109375" style="15" customWidth="1"/>
    <col min="1546" max="1546" width="14.42578125" style="15" customWidth="1"/>
    <col min="1547" max="1547" width="20.140625" style="15" customWidth="1"/>
    <col min="1548" max="1548" width="17.7109375" style="15" customWidth="1"/>
    <col min="1549" max="1549" width="16.28515625" style="15" customWidth="1"/>
    <col min="1550" max="1550" width="17" style="15" customWidth="1"/>
    <col min="1551" max="1793" width="12.85546875" style="15"/>
    <col min="1794" max="1794" width="20.85546875" style="15" customWidth="1"/>
    <col min="1795" max="1795" width="56" style="15" bestFit="1" customWidth="1"/>
    <col min="1796" max="1796" width="15.85546875" style="15" customWidth="1"/>
    <col min="1797" max="1797" width="14.7109375" style="15" customWidth="1"/>
    <col min="1798" max="1798" width="17.5703125" style="15" customWidth="1"/>
    <col min="1799" max="1799" width="14.28515625" style="15" customWidth="1"/>
    <col min="1800" max="1800" width="12.42578125" style="15" customWidth="1"/>
    <col min="1801" max="1801" width="16.7109375" style="15" customWidth="1"/>
    <col min="1802" max="1802" width="14.42578125" style="15" customWidth="1"/>
    <col min="1803" max="1803" width="20.140625" style="15" customWidth="1"/>
    <col min="1804" max="1804" width="17.7109375" style="15" customWidth="1"/>
    <col min="1805" max="1805" width="16.28515625" style="15" customWidth="1"/>
    <col min="1806" max="1806" width="17" style="15" customWidth="1"/>
    <col min="1807" max="2049" width="12.85546875" style="15"/>
    <col min="2050" max="2050" width="20.85546875" style="15" customWidth="1"/>
    <col min="2051" max="2051" width="56" style="15" bestFit="1" customWidth="1"/>
    <col min="2052" max="2052" width="15.85546875" style="15" customWidth="1"/>
    <col min="2053" max="2053" width="14.7109375" style="15" customWidth="1"/>
    <col min="2054" max="2054" width="17.5703125" style="15" customWidth="1"/>
    <col min="2055" max="2055" width="14.28515625" style="15" customWidth="1"/>
    <col min="2056" max="2056" width="12.42578125" style="15" customWidth="1"/>
    <col min="2057" max="2057" width="16.7109375" style="15" customWidth="1"/>
    <col min="2058" max="2058" width="14.42578125" style="15" customWidth="1"/>
    <col min="2059" max="2059" width="20.140625" style="15" customWidth="1"/>
    <col min="2060" max="2060" width="17.7109375" style="15" customWidth="1"/>
    <col min="2061" max="2061" width="16.28515625" style="15" customWidth="1"/>
    <col min="2062" max="2062" width="17" style="15" customWidth="1"/>
    <col min="2063" max="2305" width="12.85546875" style="15"/>
    <col min="2306" max="2306" width="20.85546875" style="15" customWidth="1"/>
    <col min="2307" max="2307" width="56" style="15" bestFit="1" customWidth="1"/>
    <col min="2308" max="2308" width="15.85546875" style="15" customWidth="1"/>
    <col min="2309" max="2309" width="14.7109375" style="15" customWidth="1"/>
    <col min="2310" max="2310" width="17.5703125" style="15" customWidth="1"/>
    <col min="2311" max="2311" width="14.28515625" style="15" customWidth="1"/>
    <col min="2312" max="2312" width="12.42578125" style="15" customWidth="1"/>
    <col min="2313" max="2313" width="16.7109375" style="15" customWidth="1"/>
    <col min="2314" max="2314" width="14.42578125" style="15" customWidth="1"/>
    <col min="2315" max="2315" width="20.140625" style="15" customWidth="1"/>
    <col min="2316" max="2316" width="17.7109375" style="15" customWidth="1"/>
    <col min="2317" max="2317" width="16.28515625" style="15" customWidth="1"/>
    <col min="2318" max="2318" width="17" style="15" customWidth="1"/>
    <col min="2319" max="2561" width="12.85546875" style="15"/>
    <col min="2562" max="2562" width="20.85546875" style="15" customWidth="1"/>
    <col min="2563" max="2563" width="56" style="15" bestFit="1" customWidth="1"/>
    <col min="2564" max="2564" width="15.85546875" style="15" customWidth="1"/>
    <col min="2565" max="2565" width="14.7109375" style="15" customWidth="1"/>
    <col min="2566" max="2566" width="17.5703125" style="15" customWidth="1"/>
    <col min="2567" max="2567" width="14.28515625" style="15" customWidth="1"/>
    <col min="2568" max="2568" width="12.42578125" style="15" customWidth="1"/>
    <col min="2569" max="2569" width="16.7109375" style="15" customWidth="1"/>
    <col min="2570" max="2570" width="14.42578125" style="15" customWidth="1"/>
    <col min="2571" max="2571" width="20.140625" style="15" customWidth="1"/>
    <col min="2572" max="2572" width="17.7109375" style="15" customWidth="1"/>
    <col min="2573" max="2573" width="16.28515625" style="15" customWidth="1"/>
    <col min="2574" max="2574" width="17" style="15" customWidth="1"/>
    <col min="2575" max="2817" width="12.85546875" style="15"/>
    <col min="2818" max="2818" width="20.85546875" style="15" customWidth="1"/>
    <col min="2819" max="2819" width="56" style="15" bestFit="1" customWidth="1"/>
    <col min="2820" max="2820" width="15.85546875" style="15" customWidth="1"/>
    <col min="2821" max="2821" width="14.7109375" style="15" customWidth="1"/>
    <col min="2822" max="2822" width="17.5703125" style="15" customWidth="1"/>
    <col min="2823" max="2823" width="14.28515625" style="15" customWidth="1"/>
    <col min="2824" max="2824" width="12.42578125" style="15" customWidth="1"/>
    <col min="2825" max="2825" width="16.7109375" style="15" customWidth="1"/>
    <col min="2826" max="2826" width="14.42578125" style="15" customWidth="1"/>
    <col min="2827" max="2827" width="20.140625" style="15" customWidth="1"/>
    <col min="2828" max="2828" width="17.7109375" style="15" customWidth="1"/>
    <col min="2829" max="2829" width="16.28515625" style="15" customWidth="1"/>
    <col min="2830" max="2830" width="17" style="15" customWidth="1"/>
    <col min="2831" max="3073" width="12.85546875" style="15"/>
    <col min="3074" max="3074" width="20.85546875" style="15" customWidth="1"/>
    <col min="3075" max="3075" width="56" style="15" bestFit="1" customWidth="1"/>
    <col min="3076" max="3076" width="15.85546875" style="15" customWidth="1"/>
    <col min="3077" max="3077" width="14.7109375" style="15" customWidth="1"/>
    <col min="3078" max="3078" width="17.5703125" style="15" customWidth="1"/>
    <col min="3079" max="3079" width="14.28515625" style="15" customWidth="1"/>
    <col min="3080" max="3080" width="12.42578125" style="15" customWidth="1"/>
    <col min="3081" max="3081" width="16.7109375" style="15" customWidth="1"/>
    <col min="3082" max="3082" width="14.42578125" style="15" customWidth="1"/>
    <col min="3083" max="3083" width="20.140625" style="15" customWidth="1"/>
    <col min="3084" max="3084" width="17.7109375" style="15" customWidth="1"/>
    <col min="3085" max="3085" width="16.28515625" style="15" customWidth="1"/>
    <col min="3086" max="3086" width="17" style="15" customWidth="1"/>
    <col min="3087" max="3329" width="12.85546875" style="15"/>
    <col min="3330" max="3330" width="20.85546875" style="15" customWidth="1"/>
    <col min="3331" max="3331" width="56" style="15" bestFit="1" customWidth="1"/>
    <col min="3332" max="3332" width="15.85546875" style="15" customWidth="1"/>
    <col min="3333" max="3333" width="14.7109375" style="15" customWidth="1"/>
    <col min="3334" max="3334" width="17.5703125" style="15" customWidth="1"/>
    <col min="3335" max="3335" width="14.28515625" style="15" customWidth="1"/>
    <col min="3336" max="3336" width="12.42578125" style="15" customWidth="1"/>
    <col min="3337" max="3337" width="16.7109375" style="15" customWidth="1"/>
    <col min="3338" max="3338" width="14.42578125" style="15" customWidth="1"/>
    <col min="3339" max="3339" width="20.140625" style="15" customWidth="1"/>
    <col min="3340" max="3340" width="17.7109375" style="15" customWidth="1"/>
    <col min="3341" max="3341" width="16.28515625" style="15" customWidth="1"/>
    <col min="3342" max="3342" width="17" style="15" customWidth="1"/>
    <col min="3343" max="3585" width="12.85546875" style="15"/>
    <col min="3586" max="3586" width="20.85546875" style="15" customWidth="1"/>
    <col min="3587" max="3587" width="56" style="15" bestFit="1" customWidth="1"/>
    <col min="3588" max="3588" width="15.85546875" style="15" customWidth="1"/>
    <col min="3589" max="3589" width="14.7109375" style="15" customWidth="1"/>
    <col min="3590" max="3590" width="17.5703125" style="15" customWidth="1"/>
    <col min="3591" max="3591" width="14.28515625" style="15" customWidth="1"/>
    <col min="3592" max="3592" width="12.42578125" style="15" customWidth="1"/>
    <col min="3593" max="3593" width="16.7109375" style="15" customWidth="1"/>
    <col min="3594" max="3594" width="14.42578125" style="15" customWidth="1"/>
    <col min="3595" max="3595" width="20.140625" style="15" customWidth="1"/>
    <col min="3596" max="3596" width="17.7109375" style="15" customWidth="1"/>
    <col min="3597" max="3597" width="16.28515625" style="15" customWidth="1"/>
    <col min="3598" max="3598" width="17" style="15" customWidth="1"/>
    <col min="3599" max="3841" width="12.85546875" style="15"/>
    <col min="3842" max="3842" width="20.85546875" style="15" customWidth="1"/>
    <col min="3843" max="3843" width="56" style="15" bestFit="1" customWidth="1"/>
    <col min="3844" max="3844" width="15.85546875" style="15" customWidth="1"/>
    <col min="3845" max="3845" width="14.7109375" style="15" customWidth="1"/>
    <col min="3846" max="3846" width="17.5703125" style="15" customWidth="1"/>
    <col min="3847" max="3847" width="14.28515625" style="15" customWidth="1"/>
    <col min="3848" max="3848" width="12.42578125" style="15" customWidth="1"/>
    <col min="3849" max="3849" width="16.7109375" style="15" customWidth="1"/>
    <col min="3850" max="3850" width="14.42578125" style="15" customWidth="1"/>
    <col min="3851" max="3851" width="20.140625" style="15" customWidth="1"/>
    <col min="3852" max="3852" width="17.7109375" style="15" customWidth="1"/>
    <col min="3853" max="3853" width="16.28515625" style="15" customWidth="1"/>
    <col min="3854" max="3854" width="17" style="15" customWidth="1"/>
    <col min="3855" max="4097" width="12.85546875" style="15"/>
    <col min="4098" max="4098" width="20.85546875" style="15" customWidth="1"/>
    <col min="4099" max="4099" width="56" style="15" bestFit="1" customWidth="1"/>
    <col min="4100" max="4100" width="15.85546875" style="15" customWidth="1"/>
    <col min="4101" max="4101" width="14.7109375" style="15" customWidth="1"/>
    <col min="4102" max="4102" width="17.5703125" style="15" customWidth="1"/>
    <col min="4103" max="4103" width="14.28515625" style="15" customWidth="1"/>
    <col min="4104" max="4104" width="12.42578125" style="15" customWidth="1"/>
    <col min="4105" max="4105" width="16.7109375" style="15" customWidth="1"/>
    <col min="4106" max="4106" width="14.42578125" style="15" customWidth="1"/>
    <col min="4107" max="4107" width="20.140625" style="15" customWidth="1"/>
    <col min="4108" max="4108" width="17.7109375" style="15" customWidth="1"/>
    <col min="4109" max="4109" width="16.28515625" style="15" customWidth="1"/>
    <col min="4110" max="4110" width="17" style="15" customWidth="1"/>
    <col min="4111" max="4353" width="12.85546875" style="15"/>
    <col min="4354" max="4354" width="20.85546875" style="15" customWidth="1"/>
    <col min="4355" max="4355" width="56" style="15" bestFit="1" customWidth="1"/>
    <col min="4356" max="4356" width="15.85546875" style="15" customWidth="1"/>
    <col min="4357" max="4357" width="14.7109375" style="15" customWidth="1"/>
    <col min="4358" max="4358" width="17.5703125" style="15" customWidth="1"/>
    <col min="4359" max="4359" width="14.28515625" style="15" customWidth="1"/>
    <col min="4360" max="4360" width="12.42578125" style="15" customWidth="1"/>
    <col min="4361" max="4361" width="16.7109375" style="15" customWidth="1"/>
    <col min="4362" max="4362" width="14.42578125" style="15" customWidth="1"/>
    <col min="4363" max="4363" width="20.140625" style="15" customWidth="1"/>
    <col min="4364" max="4364" width="17.7109375" style="15" customWidth="1"/>
    <col min="4365" max="4365" width="16.28515625" style="15" customWidth="1"/>
    <col min="4366" max="4366" width="17" style="15" customWidth="1"/>
    <col min="4367" max="4609" width="12.85546875" style="15"/>
    <col min="4610" max="4610" width="20.85546875" style="15" customWidth="1"/>
    <col min="4611" max="4611" width="56" style="15" bestFit="1" customWidth="1"/>
    <col min="4612" max="4612" width="15.85546875" style="15" customWidth="1"/>
    <col min="4613" max="4613" width="14.7109375" style="15" customWidth="1"/>
    <col min="4614" max="4614" width="17.5703125" style="15" customWidth="1"/>
    <col min="4615" max="4615" width="14.28515625" style="15" customWidth="1"/>
    <col min="4616" max="4616" width="12.42578125" style="15" customWidth="1"/>
    <col min="4617" max="4617" width="16.7109375" style="15" customWidth="1"/>
    <col min="4618" max="4618" width="14.42578125" style="15" customWidth="1"/>
    <col min="4619" max="4619" width="20.140625" style="15" customWidth="1"/>
    <col min="4620" max="4620" width="17.7109375" style="15" customWidth="1"/>
    <col min="4621" max="4621" width="16.28515625" style="15" customWidth="1"/>
    <col min="4622" max="4622" width="17" style="15" customWidth="1"/>
    <col min="4623" max="4865" width="12.85546875" style="15"/>
    <col min="4866" max="4866" width="20.85546875" style="15" customWidth="1"/>
    <col min="4867" max="4867" width="56" style="15" bestFit="1" customWidth="1"/>
    <col min="4868" max="4868" width="15.85546875" style="15" customWidth="1"/>
    <col min="4869" max="4869" width="14.7109375" style="15" customWidth="1"/>
    <col min="4870" max="4870" width="17.5703125" style="15" customWidth="1"/>
    <col min="4871" max="4871" width="14.28515625" style="15" customWidth="1"/>
    <col min="4872" max="4872" width="12.42578125" style="15" customWidth="1"/>
    <col min="4873" max="4873" width="16.7109375" style="15" customWidth="1"/>
    <col min="4874" max="4874" width="14.42578125" style="15" customWidth="1"/>
    <col min="4875" max="4875" width="20.140625" style="15" customWidth="1"/>
    <col min="4876" max="4876" width="17.7109375" style="15" customWidth="1"/>
    <col min="4877" max="4877" width="16.28515625" style="15" customWidth="1"/>
    <col min="4878" max="4878" width="17" style="15" customWidth="1"/>
    <col min="4879" max="5121" width="12.85546875" style="15"/>
    <col min="5122" max="5122" width="20.85546875" style="15" customWidth="1"/>
    <col min="5123" max="5123" width="56" style="15" bestFit="1" customWidth="1"/>
    <col min="5124" max="5124" width="15.85546875" style="15" customWidth="1"/>
    <col min="5125" max="5125" width="14.7109375" style="15" customWidth="1"/>
    <col min="5126" max="5126" width="17.5703125" style="15" customWidth="1"/>
    <col min="5127" max="5127" width="14.28515625" style="15" customWidth="1"/>
    <col min="5128" max="5128" width="12.42578125" style="15" customWidth="1"/>
    <col min="5129" max="5129" width="16.7109375" style="15" customWidth="1"/>
    <col min="5130" max="5130" width="14.42578125" style="15" customWidth="1"/>
    <col min="5131" max="5131" width="20.140625" style="15" customWidth="1"/>
    <col min="5132" max="5132" width="17.7109375" style="15" customWidth="1"/>
    <col min="5133" max="5133" width="16.28515625" style="15" customWidth="1"/>
    <col min="5134" max="5134" width="17" style="15" customWidth="1"/>
    <col min="5135" max="5377" width="12.85546875" style="15"/>
    <col min="5378" max="5378" width="20.85546875" style="15" customWidth="1"/>
    <col min="5379" max="5379" width="56" style="15" bestFit="1" customWidth="1"/>
    <col min="5380" max="5380" width="15.85546875" style="15" customWidth="1"/>
    <col min="5381" max="5381" width="14.7109375" style="15" customWidth="1"/>
    <col min="5382" max="5382" width="17.5703125" style="15" customWidth="1"/>
    <col min="5383" max="5383" width="14.28515625" style="15" customWidth="1"/>
    <col min="5384" max="5384" width="12.42578125" style="15" customWidth="1"/>
    <col min="5385" max="5385" width="16.7109375" style="15" customWidth="1"/>
    <col min="5386" max="5386" width="14.42578125" style="15" customWidth="1"/>
    <col min="5387" max="5387" width="20.140625" style="15" customWidth="1"/>
    <col min="5388" max="5388" width="17.7109375" style="15" customWidth="1"/>
    <col min="5389" max="5389" width="16.28515625" style="15" customWidth="1"/>
    <col min="5390" max="5390" width="17" style="15" customWidth="1"/>
    <col min="5391" max="5633" width="12.85546875" style="15"/>
    <col min="5634" max="5634" width="20.85546875" style="15" customWidth="1"/>
    <col min="5635" max="5635" width="56" style="15" bestFit="1" customWidth="1"/>
    <col min="5636" max="5636" width="15.85546875" style="15" customWidth="1"/>
    <col min="5637" max="5637" width="14.7109375" style="15" customWidth="1"/>
    <col min="5638" max="5638" width="17.5703125" style="15" customWidth="1"/>
    <col min="5639" max="5639" width="14.28515625" style="15" customWidth="1"/>
    <col min="5640" max="5640" width="12.42578125" style="15" customWidth="1"/>
    <col min="5641" max="5641" width="16.7109375" style="15" customWidth="1"/>
    <col min="5642" max="5642" width="14.42578125" style="15" customWidth="1"/>
    <col min="5643" max="5643" width="20.140625" style="15" customWidth="1"/>
    <col min="5644" max="5644" width="17.7109375" style="15" customWidth="1"/>
    <col min="5645" max="5645" width="16.28515625" style="15" customWidth="1"/>
    <col min="5646" max="5646" width="17" style="15" customWidth="1"/>
    <col min="5647" max="5889" width="12.85546875" style="15"/>
    <col min="5890" max="5890" width="20.85546875" style="15" customWidth="1"/>
    <col min="5891" max="5891" width="56" style="15" bestFit="1" customWidth="1"/>
    <col min="5892" max="5892" width="15.85546875" style="15" customWidth="1"/>
    <col min="5893" max="5893" width="14.7109375" style="15" customWidth="1"/>
    <col min="5894" max="5894" width="17.5703125" style="15" customWidth="1"/>
    <col min="5895" max="5895" width="14.28515625" style="15" customWidth="1"/>
    <col min="5896" max="5896" width="12.42578125" style="15" customWidth="1"/>
    <col min="5897" max="5897" width="16.7109375" style="15" customWidth="1"/>
    <col min="5898" max="5898" width="14.42578125" style="15" customWidth="1"/>
    <col min="5899" max="5899" width="20.140625" style="15" customWidth="1"/>
    <col min="5900" max="5900" width="17.7109375" style="15" customWidth="1"/>
    <col min="5901" max="5901" width="16.28515625" style="15" customWidth="1"/>
    <col min="5902" max="5902" width="17" style="15" customWidth="1"/>
    <col min="5903" max="6145" width="12.85546875" style="15"/>
    <col min="6146" max="6146" width="20.85546875" style="15" customWidth="1"/>
    <col min="6147" max="6147" width="56" style="15" bestFit="1" customWidth="1"/>
    <col min="6148" max="6148" width="15.85546875" style="15" customWidth="1"/>
    <col min="6149" max="6149" width="14.7109375" style="15" customWidth="1"/>
    <col min="6150" max="6150" width="17.5703125" style="15" customWidth="1"/>
    <col min="6151" max="6151" width="14.28515625" style="15" customWidth="1"/>
    <col min="6152" max="6152" width="12.42578125" style="15" customWidth="1"/>
    <col min="6153" max="6153" width="16.7109375" style="15" customWidth="1"/>
    <col min="6154" max="6154" width="14.42578125" style="15" customWidth="1"/>
    <col min="6155" max="6155" width="20.140625" style="15" customWidth="1"/>
    <col min="6156" max="6156" width="17.7109375" style="15" customWidth="1"/>
    <col min="6157" max="6157" width="16.28515625" style="15" customWidth="1"/>
    <col min="6158" max="6158" width="17" style="15" customWidth="1"/>
    <col min="6159" max="6401" width="12.85546875" style="15"/>
    <col min="6402" max="6402" width="20.85546875" style="15" customWidth="1"/>
    <col min="6403" max="6403" width="56" style="15" bestFit="1" customWidth="1"/>
    <col min="6404" max="6404" width="15.85546875" style="15" customWidth="1"/>
    <col min="6405" max="6405" width="14.7109375" style="15" customWidth="1"/>
    <col min="6406" max="6406" width="17.5703125" style="15" customWidth="1"/>
    <col min="6407" max="6407" width="14.28515625" style="15" customWidth="1"/>
    <col min="6408" max="6408" width="12.42578125" style="15" customWidth="1"/>
    <col min="6409" max="6409" width="16.7109375" style="15" customWidth="1"/>
    <col min="6410" max="6410" width="14.42578125" style="15" customWidth="1"/>
    <col min="6411" max="6411" width="20.140625" style="15" customWidth="1"/>
    <col min="6412" max="6412" width="17.7109375" style="15" customWidth="1"/>
    <col min="6413" max="6413" width="16.28515625" style="15" customWidth="1"/>
    <col min="6414" max="6414" width="17" style="15" customWidth="1"/>
    <col min="6415" max="6657" width="12.85546875" style="15"/>
    <col min="6658" max="6658" width="20.85546875" style="15" customWidth="1"/>
    <col min="6659" max="6659" width="56" style="15" bestFit="1" customWidth="1"/>
    <col min="6660" max="6660" width="15.85546875" style="15" customWidth="1"/>
    <col min="6661" max="6661" width="14.7109375" style="15" customWidth="1"/>
    <col min="6662" max="6662" width="17.5703125" style="15" customWidth="1"/>
    <col min="6663" max="6663" width="14.28515625" style="15" customWidth="1"/>
    <col min="6664" max="6664" width="12.42578125" style="15" customWidth="1"/>
    <col min="6665" max="6665" width="16.7109375" style="15" customWidth="1"/>
    <col min="6666" max="6666" width="14.42578125" style="15" customWidth="1"/>
    <col min="6667" max="6667" width="20.140625" style="15" customWidth="1"/>
    <col min="6668" max="6668" width="17.7109375" style="15" customWidth="1"/>
    <col min="6669" max="6669" width="16.28515625" style="15" customWidth="1"/>
    <col min="6670" max="6670" width="17" style="15" customWidth="1"/>
    <col min="6671" max="6913" width="12.85546875" style="15"/>
    <col min="6914" max="6914" width="20.85546875" style="15" customWidth="1"/>
    <col min="6915" max="6915" width="56" style="15" bestFit="1" customWidth="1"/>
    <col min="6916" max="6916" width="15.85546875" style="15" customWidth="1"/>
    <col min="6917" max="6917" width="14.7109375" style="15" customWidth="1"/>
    <col min="6918" max="6918" width="17.5703125" style="15" customWidth="1"/>
    <col min="6919" max="6919" width="14.28515625" style="15" customWidth="1"/>
    <col min="6920" max="6920" width="12.42578125" style="15" customWidth="1"/>
    <col min="6921" max="6921" width="16.7109375" style="15" customWidth="1"/>
    <col min="6922" max="6922" width="14.42578125" style="15" customWidth="1"/>
    <col min="6923" max="6923" width="20.140625" style="15" customWidth="1"/>
    <col min="6924" max="6924" width="17.7109375" style="15" customWidth="1"/>
    <col min="6925" max="6925" width="16.28515625" style="15" customWidth="1"/>
    <col min="6926" max="6926" width="17" style="15" customWidth="1"/>
    <col min="6927" max="7169" width="12.85546875" style="15"/>
    <col min="7170" max="7170" width="20.85546875" style="15" customWidth="1"/>
    <col min="7171" max="7171" width="56" style="15" bestFit="1" customWidth="1"/>
    <col min="7172" max="7172" width="15.85546875" style="15" customWidth="1"/>
    <col min="7173" max="7173" width="14.7109375" style="15" customWidth="1"/>
    <col min="7174" max="7174" width="17.5703125" style="15" customWidth="1"/>
    <col min="7175" max="7175" width="14.28515625" style="15" customWidth="1"/>
    <col min="7176" max="7176" width="12.42578125" style="15" customWidth="1"/>
    <col min="7177" max="7177" width="16.7109375" style="15" customWidth="1"/>
    <col min="7178" max="7178" width="14.42578125" style="15" customWidth="1"/>
    <col min="7179" max="7179" width="20.140625" style="15" customWidth="1"/>
    <col min="7180" max="7180" width="17.7109375" style="15" customWidth="1"/>
    <col min="7181" max="7181" width="16.28515625" style="15" customWidth="1"/>
    <col min="7182" max="7182" width="17" style="15" customWidth="1"/>
    <col min="7183" max="7425" width="12.85546875" style="15"/>
    <col min="7426" max="7426" width="20.85546875" style="15" customWidth="1"/>
    <col min="7427" max="7427" width="56" style="15" bestFit="1" customWidth="1"/>
    <col min="7428" max="7428" width="15.85546875" style="15" customWidth="1"/>
    <col min="7429" max="7429" width="14.7109375" style="15" customWidth="1"/>
    <col min="7430" max="7430" width="17.5703125" style="15" customWidth="1"/>
    <col min="7431" max="7431" width="14.28515625" style="15" customWidth="1"/>
    <col min="7432" max="7432" width="12.42578125" style="15" customWidth="1"/>
    <col min="7433" max="7433" width="16.7109375" style="15" customWidth="1"/>
    <col min="7434" max="7434" width="14.42578125" style="15" customWidth="1"/>
    <col min="7435" max="7435" width="20.140625" style="15" customWidth="1"/>
    <col min="7436" max="7436" width="17.7109375" style="15" customWidth="1"/>
    <col min="7437" max="7437" width="16.28515625" style="15" customWidth="1"/>
    <col min="7438" max="7438" width="17" style="15" customWidth="1"/>
    <col min="7439" max="7681" width="12.85546875" style="15"/>
    <col min="7682" max="7682" width="20.85546875" style="15" customWidth="1"/>
    <col min="7683" max="7683" width="56" style="15" bestFit="1" customWidth="1"/>
    <col min="7684" max="7684" width="15.85546875" style="15" customWidth="1"/>
    <col min="7685" max="7685" width="14.7109375" style="15" customWidth="1"/>
    <col min="7686" max="7686" width="17.5703125" style="15" customWidth="1"/>
    <col min="7687" max="7687" width="14.28515625" style="15" customWidth="1"/>
    <col min="7688" max="7688" width="12.42578125" style="15" customWidth="1"/>
    <col min="7689" max="7689" width="16.7109375" style="15" customWidth="1"/>
    <col min="7690" max="7690" width="14.42578125" style="15" customWidth="1"/>
    <col min="7691" max="7691" width="20.140625" style="15" customWidth="1"/>
    <col min="7692" max="7692" width="17.7109375" style="15" customWidth="1"/>
    <col min="7693" max="7693" width="16.28515625" style="15" customWidth="1"/>
    <col min="7694" max="7694" width="17" style="15" customWidth="1"/>
    <col min="7695" max="7937" width="12.85546875" style="15"/>
    <col min="7938" max="7938" width="20.85546875" style="15" customWidth="1"/>
    <col min="7939" max="7939" width="56" style="15" bestFit="1" customWidth="1"/>
    <col min="7940" max="7940" width="15.85546875" style="15" customWidth="1"/>
    <col min="7941" max="7941" width="14.7109375" style="15" customWidth="1"/>
    <col min="7942" max="7942" width="17.5703125" style="15" customWidth="1"/>
    <col min="7943" max="7943" width="14.28515625" style="15" customWidth="1"/>
    <col min="7944" max="7944" width="12.42578125" style="15" customWidth="1"/>
    <col min="7945" max="7945" width="16.7109375" style="15" customWidth="1"/>
    <col min="7946" max="7946" width="14.42578125" style="15" customWidth="1"/>
    <col min="7947" max="7947" width="20.140625" style="15" customWidth="1"/>
    <col min="7948" max="7948" width="17.7109375" style="15" customWidth="1"/>
    <col min="7949" max="7949" width="16.28515625" style="15" customWidth="1"/>
    <col min="7950" max="7950" width="17" style="15" customWidth="1"/>
    <col min="7951" max="8193" width="12.85546875" style="15"/>
    <col min="8194" max="8194" width="20.85546875" style="15" customWidth="1"/>
    <col min="8195" max="8195" width="56" style="15" bestFit="1" customWidth="1"/>
    <col min="8196" max="8196" width="15.85546875" style="15" customWidth="1"/>
    <col min="8197" max="8197" width="14.7109375" style="15" customWidth="1"/>
    <col min="8198" max="8198" width="17.5703125" style="15" customWidth="1"/>
    <col min="8199" max="8199" width="14.28515625" style="15" customWidth="1"/>
    <col min="8200" max="8200" width="12.42578125" style="15" customWidth="1"/>
    <col min="8201" max="8201" width="16.7109375" style="15" customWidth="1"/>
    <col min="8202" max="8202" width="14.42578125" style="15" customWidth="1"/>
    <col min="8203" max="8203" width="20.140625" style="15" customWidth="1"/>
    <col min="8204" max="8204" width="17.7109375" style="15" customWidth="1"/>
    <col min="8205" max="8205" width="16.28515625" style="15" customWidth="1"/>
    <col min="8206" max="8206" width="17" style="15" customWidth="1"/>
    <col min="8207" max="8449" width="12.85546875" style="15"/>
    <col min="8450" max="8450" width="20.85546875" style="15" customWidth="1"/>
    <col min="8451" max="8451" width="56" style="15" bestFit="1" customWidth="1"/>
    <col min="8452" max="8452" width="15.85546875" style="15" customWidth="1"/>
    <col min="8453" max="8453" width="14.7109375" style="15" customWidth="1"/>
    <col min="8454" max="8454" width="17.5703125" style="15" customWidth="1"/>
    <col min="8455" max="8455" width="14.28515625" style="15" customWidth="1"/>
    <col min="8456" max="8456" width="12.42578125" style="15" customWidth="1"/>
    <col min="8457" max="8457" width="16.7109375" style="15" customWidth="1"/>
    <col min="8458" max="8458" width="14.42578125" style="15" customWidth="1"/>
    <col min="8459" max="8459" width="20.140625" style="15" customWidth="1"/>
    <col min="8460" max="8460" width="17.7109375" style="15" customWidth="1"/>
    <col min="8461" max="8461" width="16.28515625" style="15" customWidth="1"/>
    <col min="8462" max="8462" width="17" style="15" customWidth="1"/>
    <col min="8463" max="8705" width="12.85546875" style="15"/>
    <col min="8706" max="8706" width="20.85546875" style="15" customWidth="1"/>
    <col min="8707" max="8707" width="56" style="15" bestFit="1" customWidth="1"/>
    <col min="8708" max="8708" width="15.85546875" style="15" customWidth="1"/>
    <col min="8709" max="8709" width="14.7109375" style="15" customWidth="1"/>
    <col min="8710" max="8710" width="17.5703125" style="15" customWidth="1"/>
    <col min="8711" max="8711" width="14.28515625" style="15" customWidth="1"/>
    <col min="8712" max="8712" width="12.42578125" style="15" customWidth="1"/>
    <col min="8713" max="8713" width="16.7109375" style="15" customWidth="1"/>
    <col min="8714" max="8714" width="14.42578125" style="15" customWidth="1"/>
    <col min="8715" max="8715" width="20.140625" style="15" customWidth="1"/>
    <col min="8716" max="8716" width="17.7109375" style="15" customWidth="1"/>
    <col min="8717" max="8717" width="16.28515625" style="15" customWidth="1"/>
    <col min="8718" max="8718" width="17" style="15" customWidth="1"/>
    <col min="8719" max="8961" width="12.85546875" style="15"/>
    <col min="8962" max="8962" width="20.85546875" style="15" customWidth="1"/>
    <col min="8963" max="8963" width="56" style="15" bestFit="1" customWidth="1"/>
    <col min="8964" max="8964" width="15.85546875" style="15" customWidth="1"/>
    <col min="8965" max="8965" width="14.7109375" style="15" customWidth="1"/>
    <col min="8966" max="8966" width="17.5703125" style="15" customWidth="1"/>
    <col min="8967" max="8967" width="14.28515625" style="15" customWidth="1"/>
    <col min="8968" max="8968" width="12.42578125" style="15" customWidth="1"/>
    <col min="8969" max="8969" width="16.7109375" style="15" customWidth="1"/>
    <col min="8970" max="8970" width="14.42578125" style="15" customWidth="1"/>
    <col min="8971" max="8971" width="20.140625" style="15" customWidth="1"/>
    <col min="8972" max="8972" width="17.7109375" style="15" customWidth="1"/>
    <col min="8973" max="8973" width="16.28515625" style="15" customWidth="1"/>
    <col min="8974" max="8974" width="17" style="15" customWidth="1"/>
    <col min="8975" max="9217" width="12.85546875" style="15"/>
    <col min="9218" max="9218" width="20.85546875" style="15" customWidth="1"/>
    <col min="9219" max="9219" width="56" style="15" bestFit="1" customWidth="1"/>
    <col min="9220" max="9220" width="15.85546875" style="15" customWidth="1"/>
    <col min="9221" max="9221" width="14.7109375" style="15" customWidth="1"/>
    <col min="9222" max="9222" width="17.5703125" style="15" customWidth="1"/>
    <col min="9223" max="9223" width="14.28515625" style="15" customWidth="1"/>
    <col min="9224" max="9224" width="12.42578125" style="15" customWidth="1"/>
    <col min="9225" max="9225" width="16.7109375" style="15" customWidth="1"/>
    <col min="9226" max="9226" width="14.42578125" style="15" customWidth="1"/>
    <col min="9227" max="9227" width="20.140625" style="15" customWidth="1"/>
    <col min="9228" max="9228" width="17.7109375" style="15" customWidth="1"/>
    <col min="9229" max="9229" width="16.28515625" style="15" customWidth="1"/>
    <col min="9230" max="9230" width="17" style="15" customWidth="1"/>
    <col min="9231" max="9473" width="12.85546875" style="15"/>
    <col min="9474" max="9474" width="20.85546875" style="15" customWidth="1"/>
    <col min="9475" max="9475" width="56" style="15" bestFit="1" customWidth="1"/>
    <col min="9476" max="9476" width="15.85546875" style="15" customWidth="1"/>
    <col min="9477" max="9477" width="14.7109375" style="15" customWidth="1"/>
    <col min="9478" max="9478" width="17.5703125" style="15" customWidth="1"/>
    <col min="9479" max="9479" width="14.28515625" style="15" customWidth="1"/>
    <col min="9480" max="9480" width="12.42578125" style="15" customWidth="1"/>
    <col min="9481" max="9481" width="16.7109375" style="15" customWidth="1"/>
    <col min="9482" max="9482" width="14.42578125" style="15" customWidth="1"/>
    <col min="9483" max="9483" width="20.140625" style="15" customWidth="1"/>
    <col min="9484" max="9484" width="17.7109375" style="15" customWidth="1"/>
    <col min="9485" max="9485" width="16.28515625" style="15" customWidth="1"/>
    <col min="9486" max="9486" width="17" style="15" customWidth="1"/>
    <col min="9487" max="9729" width="12.85546875" style="15"/>
    <col min="9730" max="9730" width="20.85546875" style="15" customWidth="1"/>
    <col min="9731" max="9731" width="56" style="15" bestFit="1" customWidth="1"/>
    <col min="9732" max="9732" width="15.85546875" style="15" customWidth="1"/>
    <col min="9733" max="9733" width="14.7109375" style="15" customWidth="1"/>
    <col min="9734" max="9734" width="17.5703125" style="15" customWidth="1"/>
    <col min="9735" max="9735" width="14.28515625" style="15" customWidth="1"/>
    <col min="9736" max="9736" width="12.42578125" style="15" customWidth="1"/>
    <col min="9737" max="9737" width="16.7109375" style="15" customWidth="1"/>
    <col min="9738" max="9738" width="14.42578125" style="15" customWidth="1"/>
    <col min="9739" max="9739" width="20.140625" style="15" customWidth="1"/>
    <col min="9740" max="9740" width="17.7109375" style="15" customWidth="1"/>
    <col min="9741" max="9741" width="16.28515625" style="15" customWidth="1"/>
    <col min="9742" max="9742" width="17" style="15" customWidth="1"/>
    <col min="9743" max="9985" width="12.85546875" style="15"/>
    <col min="9986" max="9986" width="20.85546875" style="15" customWidth="1"/>
    <col min="9987" max="9987" width="56" style="15" bestFit="1" customWidth="1"/>
    <col min="9988" max="9988" width="15.85546875" style="15" customWidth="1"/>
    <col min="9989" max="9989" width="14.7109375" style="15" customWidth="1"/>
    <col min="9990" max="9990" width="17.5703125" style="15" customWidth="1"/>
    <col min="9991" max="9991" width="14.28515625" style="15" customWidth="1"/>
    <col min="9992" max="9992" width="12.42578125" style="15" customWidth="1"/>
    <col min="9993" max="9993" width="16.7109375" style="15" customWidth="1"/>
    <col min="9994" max="9994" width="14.42578125" style="15" customWidth="1"/>
    <col min="9995" max="9995" width="20.140625" style="15" customWidth="1"/>
    <col min="9996" max="9996" width="17.7109375" style="15" customWidth="1"/>
    <col min="9997" max="9997" width="16.28515625" style="15" customWidth="1"/>
    <col min="9998" max="9998" width="17" style="15" customWidth="1"/>
    <col min="9999" max="10241" width="12.85546875" style="15"/>
    <col min="10242" max="10242" width="20.85546875" style="15" customWidth="1"/>
    <col min="10243" max="10243" width="56" style="15" bestFit="1" customWidth="1"/>
    <col min="10244" max="10244" width="15.85546875" style="15" customWidth="1"/>
    <col min="10245" max="10245" width="14.7109375" style="15" customWidth="1"/>
    <col min="10246" max="10246" width="17.5703125" style="15" customWidth="1"/>
    <col min="10247" max="10247" width="14.28515625" style="15" customWidth="1"/>
    <col min="10248" max="10248" width="12.42578125" style="15" customWidth="1"/>
    <col min="10249" max="10249" width="16.7109375" style="15" customWidth="1"/>
    <col min="10250" max="10250" width="14.42578125" style="15" customWidth="1"/>
    <col min="10251" max="10251" width="20.140625" style="15" customWidth="1"/>
    <col min="10252" max="10252" width="17.7109375" style="15" customWidth="1"/>
    <col min="10253" max="10253" width="16.28515625" style="15" customWidth="1"/>
    <col min="10254" max="10254" width="17" style="15" customWidth="1"/>
    <col min="10255" max="10497" width="12.85546875" style="15"/>
    <col min="10498" max="10498" width="20.85546875" style="15" customWidth="1"/>
    <col min="10499" max="10499" width="56" style="15" bestFit="1" customWidth="1"/>
    <col min="10500" max="10500" width="15.85546875" style="15" customWidth="1"/>
    <col min="10501" max="10501" width="14.7109375" style="15" customWidth="1"/>
    <col min="10502" max="10502" width="17.5703125" style="15" customWidth="1"/>
    <col min="10503" max="10503" width="14.28515625" style="15" customWidth="1"/>
    <col min="10504" max="10504" width="12.42578125" style="15" customWidth="1"/>
    <col min="10505" max="10505" width="16.7109375" style="15" customWidth="1"/>
    <col min="10506" max="10506" width="14.42578125" style="15" customWidth="1"/>
    <col min="10507" max="10507" width="20.140625" style="15" customWidth="1"/>
    <col min="10508" max="10508" width="17.7109375" style="15" customWidth="1"/>
    <col min="10509" max="10509" width="16.28515625" style="15" customWidth="1"/>
    <col min="10510" max="10510" width="17" style="15" customWidth="1"/>
    <col min="10511" max="10753" width="12.85546875" style="15"/>
    <col min="10754" max="10754" width="20.85546875" style="15" customWidth="1"/>
    <col min="10755" max="10755" width="56" style="15" bestFit="1" customWidth="1"/>
    <col min="10756" max="10756" width="15.85546875" style="15" customWidth="1"/>
    <col min="10757" max="10757" width="14.7109375" style="15" customWidth="1"/>
    <col min="10758" max="10758" width="17.5703125" style="15" customWidth="1"/>
    <col min="10759" max="10759" width="14.28515625" style="15" customWidth="1"/>
    <col min="10760" max="10760" width="12.42578125" style="15" customWidth="1"/>
    <col min="10761" max="10761" width="16.7109375" style="15" customWidth="1"/>
    <col min="10762" max="10762" width="14.42578125" style="15" customWidth="1"/>
    <col min="10763" max="10763" width="20.140625" style="15" customWidth="1"/>
    <col min="10764" max="10764" width="17.7109375" style="15" customWidth="1"/>
    <col min="10765" max="10765" width="16.28515625" style="15" customWidth="1"/>
    <col min="10766" max="10766" width="17" style="15" customWidth="1"/>
    <col min="10767" max="11009" width="12.85546875" style="15"/>
    <col min="11010" max="11010" width="20.85546875" style="15" customWidth="1"/>
    <col min="11011" max="11011" width="56" style="15" bestFit="1" customWidth="1"/>
    <col min="11012" max="11012" width="15.85546875" style="15" customWidth="1"/>
    <col min="11013" max="11013" width="14.7109375" style="15" customWidth="1"/>
    <col min="11014" max="11014" width="17.5703125" style="15" customWidth="1"/>
    <col min="11015" max="11015" width="14.28515625" style="15" customWidth="1"/>
    <col min="11016" max="11016" width="12.42578125" style="15" customWidth="1"/>
    <col min="11017" max="11017" width="16.7109375" style="15" customWidth="1"/>
    <col min="11018" max="11018" width="14.42578125" style="15" customWidth="1"/>
    <col min="11019" max="11019" width="20.140625" style="15" customWidth="1"/>
    <col min="11020" max="11020" width="17.7109375" style="15" customWidth="1"/>
    <col min="11021" max="11021" width="16.28515625" style="15" customWidth="1"/>
    <col min="11022" max="11022" width="17" style="15" customWidth="1"/>
    <col min="11023" max="11265" width="12.85546875" style="15"/>
    <col min="11266" max="11266" width="20.85546875" style="15" customWidth="1"/>
    <col min="11267" max="11267" width="56" style="15" bestFit="1" customWidth="1"/>
    <col min="11268" max="11268" width="15.85546875" style="15" customWidth="1"/>
    <col min="11269" max="11269" width="14.7109375" style="15" customWidth="1"/>
    <col min="11270" max="11270" width="17.5703125" style="15" customWidth="1"/>
    <col min="11271" max="11271" width="14.28515625" style="15" customWidth="1"/>
    <col min="11272" max="11272" width="12.42578125" style="15" customWidth="1"/>
    <col min="11273" max="11273" width="16.7109375" style="15" customWidth="1"/>
    <col min="11274" max="11274" width="14.42578125" style="15" customWidth="1"/>
    <col min="11275" max="11275" width="20.140625" style="15" customWidth="1"/>
    <col min="11276" max="11276" width="17.7109375" style="15" customWidth="1"/>
    <col min="11277" max="11277" width="16.28515625" style="15" customWidth="1"/>
    <col min="11278" max="11278" width="17" style="15" customWidth="1"/>
    <col min="11279" max="11521" width="12.85546875" style="15"/>
    <col min="11522" max="11522" width="20.85546875" style="15" customWidth="1"/>
    <col min="11523" max="11523" width="56" style="15" bestFit="1" customWidth="1"/>
    <col min="11524" max="11524" width="15.85546875" style="15" customWidth="1"/>
    <col min="11525" max="11525" width="14.7109375" style="15" customWidth="1"/>
    <col min="11526" max="11526" width="17.5703125" style="15" customWidth="1"/>
    <col min="11527" max="11527" width="14.28515625" style="15" customWidth="1"/>
    <col min="11528" max="11528" width="12.42578125" style="15" customWidth="1"/>
    <col min="11529" max="11529" width="16.7109375" style="15" customWidth="1"/>
    <col min="11530" max="11530" width="14.42578125" style="15" customWidth="1"/>
    <col min="11531" max="11531" width="20.140625" style="15" customWidth="1"/>
    <col min="11532" max="11532" width="17.7109375" style="15" customWidth="1"/>
    <col min="11533" max="11533" width="16.28515625" style="15" customWidth="1"/>
    <col min="11534" max="11534" width="17" style="15" customWidth="1"/>
    <col min="11535" max="11777" width="12.85546875" style="15"/>
    <col min="11778" max="11778" width="20.85546875" style="15" customWidth="1"/>
    <col min="11779" max="11779" width="56" style="15" bestFit="1" customWidth="1"/>
    <col min="11780" max="11780" width="15.85546875" style="15" customWidth="1"/>
    <col min="11781" max="11781" width="14.7109375" style="15" customWidth="1"/>
    <col min="11782" max="11782" width="17.5703125" style="15" customWidth="1"/>
    <col min="11783" max="11783" width="14.28515625" style="15" customWidth="1"/>
    <col min="11784" max="11784" width="12.42578125" style="15" customWidth="1"/>
    <col min="11785" max="11785" width="16.7109375" style="15" customWidth="1"/>
    <col min="11786" max="11786" width="14.42578125" style="15" customWidth="1"/>
    <col min="11787" max="11787" width="20.140625" style="15" customWidth="1"/>
    <col min="11788" max="11788" width="17.7109375" style="15" customWidth="1"/>
    <col min="11789" max="11789" width="16.28515625" style="15" customWidth="1"/>
    <col min="11790" max="11790" width="17" style="15" customWidth="1"/>
    <col min="11791" max="12033" width="12.85546875" style="15"/>
    <col min="12034" max="12034" width="20.85546875" style="15" customWidth="1"/>
    <col min="12035" max="12035" width="56" style="15" bestFit="1" customWidth="1"/>
    <col min="12036" max="12036" width="15.85546875" style="15" customWidth="1"/>
    <col min="12037" max="12037" width="14.7109375" style="15" customWidth="1"/>
    <col min="12038" max="12038" width="17.5703125" style="15" customWidth="1"/>
    <col min="12039" max="12039" width="14.28515625" style="15" customWidth="1"/>
    <col min="12040" max="12040" width="12.42578125" style="15" customWidth="1"/>
    <col min="12041" max="12041" width="16.7109375" style="15" customWidth="1"/>
    <col min="12042" max="12042" width="14.42578125" style="15" customWidth="1"/>
    <col min="12043" max="12043" width="20.140625" style="15" customWidth="1"/>
    <col min="12044" max="12044" width="17.7109375" style="15" customWidth="1"/>
    <col min="12045" max="12045" width="16.28515625" style="15" customWidth="1"/>
    <col min="12046" max="12046" width="17" style="15" customWidth="1"/>
    <col min="12047" max="12289" width="12.85546875" style="15"/>
    <col min="12290" max="12290" width="20.85546875" style="15" customWidth="1"/>
    <col min="12291" max="12291" width="56" style="15" bestFit="1" customWidth="1"/>
    <col min="12292" max="12292" width="15.85546875" style="15" customWidth="1"/>
    <col min="12293" max="12293" width="14.7109375" style="15" customWidth="1"/>
    <col min="12294" max="12294" width="17.5703125" style="15" customWidth="1"/>
    <col min="12295" max="12295" width="14.28515625" style="15" customWidth="1"/>
    <col min="12296" max="12296" width="12.42578125" style="15" customWidth="1"/>
    <col min="12297" max="12297" width="16.7109375" style="15" customWidth="1"/>
    <col min="12298" max="12298" width="14.42578125" style="15" customWidth="1"/>
    <col min="12299" max="12299" width="20.140625" style="15" customWidth="1"/>
    <col min="12300" max="12300" width="17.7109375" style="15" customWidth="1"/>
    <col min="12301" max="12301" width="16.28515625" style="15" customWidth="1"/>
    <col min="12302" max="12302" width="17" style="15" customWidth="1"/>
    <col min="12303" max="12545" width="12.85546875" style="15"/>
    <col min="12546" max="12546" width="20.85546875" style="15" customWidth="1"/>
    <col min="12547" max="12547" width="56" style="15" bestFit="1" customWidth="1"/>
    <col min="12548" max="12548" width="15.85546875" style="15" customWidth="1"/>
    <col min="12549" max="12549" width="14.7109375" style="15" customWidth="1"/>
    <col min="12550" max="12550" width="17.5703125" style="15" customWidth="1"/>
    <col min="12551" max="12551" width="14.28515625" style="15" customWidth="1"/>
    <col min="12552" max="12552" width="12.42578125" style="15" customWidth="1"/>
    <col min="12553" max="12553" width="16.7109375" style="15" customWidth="1"/>
    <col min="12554" max="12554" width="14.42578125" style="15" customWidth="1"/>
    <col min="12555" max="12555" width="20.140625" style="15" customWidth="1"/>
    <col min="12556" max="12556" width="17.7109375" style="15" customWidth="1"/>
    <col min="12557" max="12557" width="16.28515625" style="15" customWidth="1"/>
    <col min="12558" max="12558" width="17" style="15" customWidth="1"/>
    <col min="12559" max="12801" width="12.85546875" style="15"/>
    <col min="12802" max="12802" width="20.85546875" style="15" customWidth="1"/>
    <col min="12803" max="12803" width="56" style="15" bestFit="1" customWidth="1"/>
    <col min="12804" max="12804" width="15.85546875" style="15" customWidth="1"/>
    <col min="12805" max="12805" width="14.7109375" style="15" customWidth="1"/>
    <col min="12806" max="12806" width="17.5703125" style="15" customWidth="1"/>
    <col min="12807" max="12807" width="14.28515625" style="15" customWidth="1"/>
    <col min="12808" max="12808" width="12.42578125" style="15" customWidth="1"/>
    <col min="12809" max="12809" width="16.7109375" style="15" customWidth="1"/>
    <col min="12810" max="12810" width="14.42578125" style="15" customWidth="1"/>
    <col min="12811" max="12811" width="20.140625" style="15" customWidth="1"/>
    <col min="12812" max="12812" width="17.7109375" style="15" customWidth="1"/>
    <col min="12813" max="12813" width="16.28515625" style="15" customWidth="1"/>
    <col min="12814" max="12814" width="17" style="15" customWidth="1"/>
    <col min="12815" max="13057" width="12.85546875" style="15"/>
    <col min="13058" max="13058" width="20.85546875" style="15" customWidth="1"/>
    <col min="13059" max="13059" width="56" style="15" bestFit="1" customWidth="1"/>
    <col min="13060" max="13060" width="15.85546875" style="15" customWidth="1"/>
    <col min="13061" max="13061" width="14.7109375" style="15" customWidth="1"/>
    <col min="13062" max="13062" width="17.5703125" style="15" customWidth="1"/>
    <col min="13063" max="13063" width="14.28515625" style="15" customWidth="1"/>
    <col min="13064" max="13064" width="12.42578125" style="15" customWidth="1"/>
    <col min="13065" max="13065" width="16.7109375" style="15" customWidth="1"/>
    <col min="13066" max="13066" width="14.42578125" style="15" customWidth="1"/>
    <col min="13067" max="13067" width="20.140625" style="15" customWidth="1"/>
    <col min="13068" max="13068" width="17.7109375" style="15" customWidth="1"/>
    <col min="13069" max="13069" width="16.28515625" style="15" customWidth="1"/>
    <col min="13070" max="13070" width="17" style="15" customWidth="1"/>
    <col min="13071" max="13313" width="12.85546875" style="15"/>
    <col min="13314" max="13314" width="20.85546875" style="15" customWidth="1"/>
    <col min="13315" max="13315" width="56" style="15" bestFit="1" customWidth="1"/>
    <col min="13316" max="13316" width="15.85546875" style="15" customWidth="1"/>
    <col min="13317" max="13317" width="14.7109375" style="15" customWidth="1"/>
    <col min="13318" max="13318" width="17.5703125" style="15" customWidth="1"/>
    <col min="13319" max="13319" width="14.28515625" style="15" customWidth="1"/>
    <col min="13320" max="13320" width="12.42578125" style="15" customWidth="1"/>
    <col min="13321" max="13321" width="16.7109375" style="15" customWidth="1"/>
    <col min="13322" max="13322" width="14.42578125" style="15" customWidth="1"/>
    <col min="13323" max="13323" width="20.140625" style="15" customWidth="1"/>
    <col min="13324" max="13324" width="17.7109375" style="15" customWidth="1"/>
    <col min="13325" max="13325" width="16.28515625" style="15" customWidth="1"/>
    <col min="13326" max="13326" width="17" style="15" customWidth="1"/>
    <col min="13327" max="13569" width="12.85546875" style="15"/>
    <col min="13570" max="13570" width="20.85546875" style="15" customWidth="1"/>
    <col min="13571" max="13571" width="56" style="15" bestFit="1" customWidth="1"/>
    <col min="13572" max="13572" width="15.85546875" style="15" customWidth="1"/>
    <col min="13573" max="13573" width="14.7109375" style="15" customWidth="1"/>
    <col min="13574" max="13574" width="17.5703125" style="15" customWidth="1"/>
    <col min="13575" max="13575" width="14.28515625" style="15" customWidth="1"/>
    <col min="13576" max="13576" width="12.42578125" style="15" customWidth="1"/>
    <col min="13577" max="13577" width="16.7109375" style="15" customWidth="1"/>
    <col min="13578" max="13578" width="14.42578125" style="15" customWidth="1"/>
    <col min="13579" max="13579" width="20.140625" style="15" customWidth="1"/>
    <col min="13580" max="13580" width="17.7109375" style="15" customWidth="1"/>
    <col min="13581" max="13581" width="16.28515625" style="15" customWidth="1"/>
    <col min="13582" max="13582" width="17" style="15" customWidth="1"/>
    <col min="13583" max="13825" width="12.85546875" style="15"/>
    <col min="13826" max="13826" width="20.85546875" style="15" customWidth="1"/>
    <col min="13827" max="13827" width="56" style="15" bestFit="1" customWidth="1"/>
    <col min="13828" max="13828" width="15.85546875" style="15" customWidth="1"/>
    <col min="13829" max="13829" width="14.7109375" style="15" customWidth="1"/>
    <col min="13830" max="13830" width="17.5703125" style="15" customWidth="1"/>
    <col min="13831" max="13831" width="14.28515625" style="15" customWidth="1"/>
    <col min="13832" max="13832" width="12.42578125" style="15" customWidth="1"/>
    <col min="13833" max="13833" width="16.7109375" style="15" customWidth="1"/>
    <col min="13834" max="13834" width="14.42578125" style="15" customWidth="1"/>
    <col min="13835" max="13835" width="20.140625" style="15" customWidth="1"/>
    <col min="13836" max="13836" width="17.7109375" style="15" customWidth="1"/>
    <col min="13837" max="13837" width="16.28515625" style="15" customWidth="1"/>
    <col min="13838" max="13838" width="17" style="15" customWidth="1"/>
    <col min="13839" max="14081" width="12.85546875" style="15"/>
    <col min="14082" max="14082" width="20.85546875" style="15" customWidth="1"/>
    <col min="14083" max="14083" width="56" style="15" bestFit="1" customWidth="1"/>
    <col min="14084" max="14084" width="15.85546875" style="15" customWidth="1"/>
    <col min="14085" max="14085" width="14.7109375" style="15" customWidth="1"/>
    <col min="14086" max="14086" width="17.5703125" style="15" customWidth="1"/>
    <col min="14087" max="14087" width="14.28515625" style="15" customWidth="1"/>
    <col min="14088" max="14088" width="12.42578125" style="15" customWidth="1"/>
    <col min="14089" max="14089" width="16.7109375" style="15" customWidth="1"/>
    <col min="14090" max="14090" width="14.42578125" style="15" customWidth="1"/>
    <col min="14091" max="14091" width="20.140625" style="15" customWidth="1"/>
    <col min="14092" max="14092" width="17.7109375" style="15" customWidth="1"/>
    <col min="14093" max="14093" width="16.28515625" style="15" customWidth="1"/>
    <col min="14094" max="14094" width="17" style="15" customWidth="1"/>
    <col min="14095" max="14337" width="12.85546875" style="15"/>
    <col min="14338" max="14338" width="20.85546875" style="15" customWidth="1"/>
    <col min="14339" max="14339" width="56" style="15" bestFit="1" customWidth="1"/>
    <col min="14340" max="14340" width="15.85546875" style="15" customWidth="1"/>
    <col min="14341" max="14341" width="14.7109375" style="15" customWidth="1"/>
    <col min="14342" max="14342" width="17.5703125" style="15" customWidth="1"/>
    <col min="14343" max="14343" width="14.28515625" style="15" customWidth="1"/>
    <col min="14344" max="14344" width="12.42578125" style="15" customWidth="1"/>
    <col min="14345" max="14345" width="16.7109375" style="15" customWidth="1"/>
    <col min="14346" max="14346" width="14.42578125" style="15" customWidth="1"/>
    <col min="14347" max="14347" width="20.140625" style="15" customWidth="1"/>
    <col min="14348" max="14348" width="17.7109375" style="15" customWidth="1"/>
    <col min="14349" max="14349" width="16.28515625" style="15" customWidth="1"/>
    <col min="14350" max="14350" width="17" style="15" customWidth="1"/>
    <col min="14351" max="14593" width="12.85546875" style="15"/>
    <col min="14594" max="14594" width="20.85546875" style="15" customWidth="1"/>
    <col min="14595" max="14595" width="56" style="15" bestFit="1" customWidth="1"/>
    <col min="14596" max="14596" width="15.85546875" style="15" customWidth="1"/>
    <col min="14597" max="14597" width="14.7109375" style="15" customWidth="1"/>
    <col min="14598" max="14598" width="17.5703125" style="15" customWidth="1"/>
    <col min="14599" max="14599" width="14.28515625" style="15" customWidth="1"/>
    <col min="14600" max="14600" width="12.42578125" style="15" customWidth="1"/>
    <col min="14601" max="14601" width="16.7109375" style="15" customWidth="1"/>
    <col min="14602" max="14602" width="14.42578125" style="15" customWidth="1"/>
    <col min="14603" max="14603" width="20.140625" style="15" customWidth="1"/>
    <col min="14604" max="14604" width="17.7109375" style="15" customWidth="1"/>
    <col min="14605" max="14605" width="16.28515625" style="15" customWidth="1"/>
    <col min="14606" max="14606" width="17" style="15" customWidth="1"/>
    <col min="14607" max="14849" width="12.85546875" style="15"/>
    <col min="14850" max="14850" width="20.85546875" style="15" customWidth="1"/>
    <col min="14851" max="14851" width="56" style="15" bestFit="1" customWidth="1"/>
    <col min="14852" max="14852" width="15.85546875" style="15" customWidth="1"/>
    <col min="14853" max="14853" width="14.7109375" style="15" customWidth="1"/>
    <col min="14854" max="14854" width="17.5703125" style="15" customWidth="1"/>
    <col min="14855" max="14855" width="14.28515625" style="15" customWidth="1"/>
    <col min="14856" max="14856" width="12.42578125" style="15" customWidth="1"/>
    <col min="14857" max="14857" width="16.7109375" style="15" customWidth="1"/>
    <col min="14858" max="14858" width="14.42578125" style="15" customWidth="1"/>
    <col min="14859" max="14859" width="20.140625" style="15" customWidth="1"/>
    <col min="14860" max="14860" width="17.7109375" style="15" customWidth="1"/>
    <col min="14861" max="14861" width="16.28515625" style="15" customWidth="1"/>
    <col min="14862" max="14862" width="17" style="15" customWidth="1"/>
    <col min="14863" max="15105" width="12.85546875" style="15"/>
    <col min="15106" max="15106" width="20.85546875" style="15" customWidth="1"/>
    <col min="15107" max="15107" width="56" style="15" bestFit="1" customWidth="1"/>
    <col min="15108" max="15108" width="15.85546875" style="15" customWidth="1"/>
    <col min="15109" max="15109" width="14.7109375" style="15" customWidth="1"/>
    <col min="15110" max="15110" width="17.5703125" style="15" customWidth="1"/>
    <col min="15111" max="15111" width="14.28515625" style="15" customWidth="1"/>
    <col min="15112" max="15112" width="12.42578125" style="15" customWidth="1"/>
    <col min="15113" max="15113" width="16.7109375" style="15" customWidth="1"/>
    <col min="15114" max="15114" width="14.42578125" style="15" customWidth="1"/>
    <col min="15115" max="15115" width="20.140625" style="15" customWidth="1"/>
    <col min="15116" max="15116" width="17.7109375" style="15" customWidth="1"/>
    <col min="15117" max="15117" width="16.28515625" style="15" customWidth="1"/>
    <col min="15118" max="15118" width="17" style="15" customWidth="1"/>
    <col min="15119" max="15361" width="12.85546875" style="15"/>
    <col min="15362" max="15362" width="20.85546875" style="15" customWidth="1"/>
    <col min="15363" max="15363" width="56" style="15" bestFit="1" customWidth="1"/>
    <col min="15364" max="15364" width="15.85546875" style="15" customWidth="1"/>
    <col min="15365" max="15365" width="14.7109375" style="15" customWidth="1"/>
    <col min="15366" max="15366" width="17.5703125" style="15" customWidth="1"/>
    <col min="15367" max="15367" width="14.28515625" style="15" customWidth="1"/>
    <col min="15368" max="15368" width="12.42578125" style="15" customWidth="1"/>
    <col min="15369" max="15369" width="16.7109375" style="15" customWidth="1"/>
    <col min="15370" max="15370" width="14.42578125" style="15" customWidth="1"/>
    <col min="15371" max="15371" width="20.140625" style="15" customWidth="1"/>
    <col min="15372" max="15372" width="17.7109375" style="15" customWidth="1"/>
    <col min="15373" max="15373" width="16.28515625" style="15" customWidth="1"/>
    <col min="15374" max="15374" width="17" style="15" customWidth="1"/>
    <col min="15375" max="15617" width="12.85546875" style="15"/>
    <col min="15618" max="15618" width="20.85546875" style="15" customWidth="1"/>
    <col min="15619" max="15619" width="56" style="15" bestFit="1" customWidth="1"/>
    <col min="15620" max="15620" width="15.85546875" style="15" customWidth="1"/>
    <col min="15621" max="15621" width="14.7109375" style="15" customWidth="1"/>
    <col min="15622" max="15622" width="17.5703125" style="15" customWidth="1"/>
    <col min="15623" max="15623" width="14.28515625" style="15" customWidth="1"/>
    <col min="15624" max="15624" width="12.42578125" style="15" customWidth="1"/>
    <col min="15625" max="15625" width="16.7109375" style="15" customWidth="1"/>
    <col min="15626" max="15626" width="14.42578125" style="15" customWidth="1"/>
    <col min="15627" max="15627" width="20.140625" style="15" customWidth="1"/>
    <col min="15628" max="15628" width="17.7109375" style="15" customWidth="1"/>
    <col min="15629" max="15629" width="16.28515625" style="15" customWidth="1"/>
    <col min="15630" max="15630" width="17" style="15" customWidth="1"/>
    <col min="15631" max="15873" width="12.85546875" style="15"/>
    <col min="15874" max="15874" width="20.85546875" style="15" customWidth="1"/>
    <col min="15875" max="15875" width="56" style="15" bestFit="1" customWidth="1"/>
    <col min="15876" max="15876" width="15.85546875" style="15" customWidth="1"/>
    <col min="15877" max="15877" width="14.7109375" style="15" customWidth="1"/>
    <col min="15878" max="15878" width="17.5703125" style="15" customWidth="1"/>
    <col min="15879" max="15879" width="14.28515625" style="15" customWidth="1"/>
    <col min="15880" max="15880" width="12.42578125" style="15" customWidth="1"/>
    <col min="15881" max="15881" width="16.7109375" style="15" customWidth="1"/>
    <col min="15882" max="15882" width="14.42578125" style="15" customWidth="1"/>
    <col min="15883" max="15883" width="20.140625" style="15" customWidth="1"/>
    <col min="15884" max="15884" width="17.7109375" style="15" customWidth="1"/>
    <col min="15885" max="15885" width="16.28515625" style="15" customWidth="1"/>
    <col min="15886" max="15886" width="17" style="15" customWidth="1"/>
    <col min="15887" max="16129" width="12.85546875" style="15"/>
    <col min="16130" max="16130" width="20.85546875" style="15" customWidth="1"/>
    <col min="16131" max="16131" width="56" style="15" bestFit="1" customWidth="1"/>
    <col min="16132" max="16132" width="15.85546875" style="15" customWidth="1"/>
    <col min="16133" max="16133" width="14.7109375" style="15" customWidth="1"/>
    <col min="16134" max="16134" width="17.5703125" style="15" customWidth="1"/>
    <col min="16135" max="16135" width="14.28515625" style="15" customWidth="1"/>
    <col min="16136" max="16136" width="12.42578125" style="15" customWidth="1"/>
    <col min="16137" max="16137" width="16.7109375" style="15" customWidth="1"/>
    <col min="16138" max="16138" width="14.42578125" style="15" customWidth="1"/>
    <col min="16139" max="16139" width="20.140625" style="15" customWidth="1"/>
    <col min="16140" max="16140" width="17.7109375" style="15" customWidth="1"/>
    <col min="16141" max="16141" width="16.28515625" style="15" customWidth="1"/>
    <col min="16142" max="16142" width="17" style="15" customWidth="1"/>
    <col min="16143" max="16384" width="12.85546875" style="15"/>
  </cols>
  <sheetData>
    <row r="1" spans="1:45" s="8" customFormat="1" ht="51" x14ac:dyDescent="0.25">
      <c r="A1" s="89" t="s">
        <v>130</v>
      </c>
      <c r="B1" s="89" t="s">
        <v>131</v>
      </c>
      <c r="C1" s="90" t="s">
        <v>132</v>
      </c>
      <c r="D1" s="91" t="s">
        <v>133</v>
      </c>
      <c r="E1" s="94" t="s">
        <v>134</v>
      </c>
      <c r="F1" s="112" t="s">
        <v>398</v>
      </c>
      <c r="G1" s="111" t="s">
        <v>395</v>
      </c>
      <c r="H1" s="112" t="s">
        <v>396</v>
      </c>
      <c r="I1" s="111" t="s">
        <v>397</v>
      </c>
      <c r="J1" s="91" t="s">
        <v>135</v>
      </c>
      <c r="K1" s="9"/>
      <c r="L1" s="92" t="s">
        <v>332</v>
      </c>
      <c r="M1" s="75" t="s">
        <v>343</v>
      </c>
      <c r="N1" s="93" t="s">
        <v>346</v>
      </c>
      <c r="O1" s="93" t="s">
        <v>378</v>
      </c>
      <c r="P1" s="93" t="s">
        <v>377</v>
      </c>
      <c r="Q1" s="9" t="s">
        <v>425</v>
      </c>
      <c r="R1" s="293" t="s">
        <v>426</v>
      </c>
      <c r="S1" s="294" t="s">
        <v>427</v>
      </c>
      <c r="T1" s="9"/>
      <c r="U1" s="192" t="s">
        <v>439</v>
      </c>
      <c r="V1" s="255" t="s">
        <v>471</v>
      </c>
      <c r="W1" s="256" t="s">
        <v>502</v>
      </c>
      <c r="X1" s="237" t="s">
        <v>528</v>
      </c>
      <c r="Y1" s="229" t="s">
        <v>535</v>
      </c>
      <c r="Z1" s="229" t="s">
        <v>537</v>
      </c>
      <c r="AA1" s="89" t="s">
        <v>130</v>
      </c>
      <c r="AB1" s="627" t="s">
        <v>502</v>
      </c>
      <c r="AC1" s="420" t="s">
        <v>571</v>
      </c>
      <c r="AD1" s="9" t="s">
        <v>592</v>
      </c>
      <c r="AE1" s="92" t="s">
        <v>619</v>
      </c>
      <c r="AF1" s="628" t="s">
        <v>502</v>
      </c>
      <c r="AG1" s="92" t="s">
        <v>653</v>
      </c>
      <c r="AH1" s="628" t="s">
        <v>502</v>
      </c>
      <c r="AI1" s="730" t="s">
        <v>709</v>
      </c>
      <c r="AJ1" s="793" t="s">
        <v>733</v>
      </c>
      <c r="AK1" s="794" t="s">
        <v>767</v>
      </c>
      <c r="AL1" s="685"/>
      <c r="AM1" s="685"/>
      <c r="AN1" s="685"/>
      <c r="AO1" s="685"/>
      <c r="AP1" s="685"/>
      <c r="AQ1" s="685"/>
    </row>
    <row r="2" spans="1:45" s="79" customFormat="1" hidden="1" x14ac:dyDescent="0.2">
      <c r="A2" s="100" t="s">
        <v>74</v>
      </c>
      <c r="B2" s="100" t="s">
        <v>335</v>
      </c>
      <c r="C2" s="101"/>
      <c r="D2" s="142"/>
      <c r="E2" s="103"/>
      <c r="F2" s="113"/>
      <c r="G2" s="104"/>
      <c r="H2" s="117"/>
      <c r="I2" s="104"/>
      <c r="J2" s="102"/>
      <c r="K2" s="80"/>
      <c r="L2" s="81">
        <v>378134</v>
      </c>
      <c r="M2" s="81">
        <v>378134</v>
      </c>
      <c r="N2" s="81"/>
      <c r="O2" s="81">
        <v>378134</v>
      </c>
      <c r="P2" s="80"/>
      <c r="Q2" s="80"/>
      <c r="R2" s="179"/>
      <c r="S2" s="81"/>
      <c r="T2" s="80"/>
      <c r="U2" s="81"/>
      <c r="V2" s="212"/>
      <c r="W2" s="212"/>
      <c r="X2" s="238"/>
      <c r="Y2" s="333"/>
      <c r="Z2" s="333"/>
      <c r="AA2" s="100" t="s">
        <v>74</v>
      </c>
      <c r="AB2" s="212"/>
      <c r="AC2" s="238"/>
      <c r="AD2" s="80"/>
      <c r="AE2" s="81"/>
      <c r="AF2" s="611"/>
      <c r="AG2" s="546"/>
      <c r="AH2" s="611"/>
      <c r="AI2" s="690"/>
      <c r="AJ2" s="242"/>
      <c r="AK2" s="795"/>
      <c r="AL2" s="686"/>
      <c r="AM2" s="686"/>
      <c r="AN2" s="686"/>
      <c r="AO2" s="686"/>
      <c r="AP2" s="686"/>
      <c r="AQ2" s="686"/>
    </row>
    <row r="3" spans="1:45" s="79" customFormat="1" ht="15" hidden="1" x14ac:dyDescent="0.25">
      <c r="A3" s="100" t="s">
        <v>74</v>
      </c>
      <c r="B3" s="54" t="s">
        <v>334</v>
      </c>
      <c r="C3" s="101"/>
      <c r="D3" s="142"/>
      <c r="E3" s="103"/>
      <c r="F3" s="113"/>
      <c r="G3" s="104"/>
      <c r="H3" s="117"/>
      <c r="I3" s="104"/>
      <c r="J3" s="102"/>
      <c r="K3" s="80"/>
      <c r="L3" s="81">
        <v>75000</v>
      </c>
      <c r="M3" s="81">
        <v>75000</v>
      </c>
      <c r="N3" s="81"/>
      <c r="O3" s="81">
        <v>75000</v>
      </c>
      <c r="P3" s="80"/>
      <c r="Q3" s="80"/>
      <c r="R3" s="179"/>
      <c r="S3" s="81"/>
      <c r="T3" s="80"/>
      <c r="U3" s="81"/>
      <c r="V3" s="212"/>
      <c r="W3" s="212"/>
      <c r="X3" s="238"/>
      <c r="Y3" s="333"/>
      <c r="Z3" s="333"/>
      <c r="AA3" s="100" t="s">
        <v>74</v>
      </c>
      <c r="AB3" s="212"/>
      <c r="AC3" s="238"/>
      <c r="AD3" s="80"/>
      <c r="AE3" s="81"/>
      <c r="AF3" s="611"/>
      <c r="AG3" s="546"/>
      <c r="AH3" s="611"/>
      <c r="AI3" s="690"/>
      <c r="AJ3" s="242"/>
      <c r="AK3" s="795"/>
      <c r="AL3" s="686"/>
      <c r="AM3" s="686"/>
      <c r="AN3" s="686"/>
      <c r="AO3" s="686"/>
      <c r="AP3" s="686"/>
      <c r="AQ3" s="686"/>
    </row>
    <row r="4" spans="1:45" s="79" customFormat="1" hidden="1" x14ac:dyDescent="0.2">
      <c r="A4" s="100" t="s">
        <v>74</v>
      </c>
      <c r="B4" s="100" t="s">
        <v>333</v>
      </c>
      <c r="C4" s="101"/>
      <c r="D4" s="142"/>
      <c r="E4" s="103"/>
      <c r="F4" s="113"/>
      <c r="G4" s="104"/>
      <c r="H4" s="117"/>
      <c r="I4" s="104"/>
      <c r="J4" s="102"/>
      <c r="K4" s="80"/>
      <c r="L4" s="81">
        <v>107949</v>
      </c>
      <c r="M4" s="81">
        <v>107949</v>
      </c>
      <c r="N4" s="81"/>
      <c r="O4" s="81">
        <v>107949</v>
      </c>
      <c r="P4" s="80"/>
      <c r="Q4" s="80"/>
      <c r="R4" s="179"/>
      <c r="S4" s="81"/>
      <c r="T4" s="80"/>
      <c r="U4" s="81"/>
      <c r="V4" s="212"/>
      <c r="W4" s="212"/>
      <c r="X4" s="238"/>
      <c r="Y4" s="333"/>
      <c r="Z4" s="333"/>
      <c r="AA4" s="100" t="s">
        <v>74</v>
      </c>
      <c r="AB4" s="212"/>
      <c r="AC4" s="238"/>
      <c r="AD4" s="80"/>
      <c r="AE4" s="81"/>
      <c r="AF4" s="611"/>
      <c r="AG4" s="546"/>
      <c r="AH4" s="611"/>
      <c r="AI4" s="690"/>
      <c r="AJ4" s="242"/>
      <c r="AK4" s="795"/>
      <c r="AL4" s="686"/>
      <c r="AM4" s="686"/>
      <c r="AN4" s="686"/>
      <c r="AO4" s="686"/>
      <c r="AP4" s="686"/>
      <c r="AQ4" s="686"/>
    </row>
    <row r="5" spans="1:45" s="79" customFormat="1" hidden="1" x14ac:dyDescent="0.2">
      <c r="A5" s="105" t="s">
        <v>74</v>
      </c>
      <c r="B5" s="105" t="s">
        <v>207</v>
      </c>
      <c r="C5" s="106"/>
      <c r="D5" s="141"/>
      <c r="E5" s="81"/>
      <c r="F5" s="114">
        <f>C5-G5</f>
        <v>0</v>
      </c>
      <c r="G5" s="106">
        <v>0</v>
      </c>
      <c r="H5" s="114"/>
      <c r="I5" s="106"/>
      <c r="J5" s="106">
        <f>F5+G5</f>
        <v>0</v>
      </c>
      <c r="K5" s="80"/>
      <c r="L5" s="81">
        <v>433685</v>
      </c>
      <c r="M5" s="81">
        <v>433685</v>
      </c>
      <c r="N5" s="81"/>
      <c r="O5" s="81">
        <v>433685</v>
      </c>
      <c r="P5" s="80"/>
      <c r="Q5" s="80"/>
      <c r="R5" s="179"/>
      <c r="S5" s="81"/>
      <c r="T5" s="80"/>
      <c r="U5" s="81"/>
      <c r="V5" s="212"/>
      <c r="W5" s="212"/>
      <c r="X5" s="238"/>
      <c r="Y5" s="333"/>
      <c r="Z5" s="333"/>
      <c r="AA5" s="105" t="s">
        <v>74</v>
      </c>
      <c r="AB5" s="212"/>
      <c r="AC5" s="238"/>
      <c r="AD5" s="80"/>
      <c r="AE5" s="81"/>
      <c r="AF5" s="611"/>
      <c r="AG5" s="546"/>
      <c r="AH5" s="611"/>
      <c r="AI5" s="690"/>
      <c r="AJ5" s="242"/>
      <c r="AK5" s="795"/>
      <c r="AL5" s="686"/>
      <c r="AM5" s="686"/>
      <c r="AN5" s="686"/>
      <c r="AO5" s="686"/>
      <c r="AP5" s="686"/>
      <c r="AQ5" s="686"/>
    </row>
    <row r="6" spans="1:45" s="79" customFormat="1" hidden="1" x14ac:dyDescent="0.2">
      <c r="A6" s="105" t="s">
        <v>74</v>
      </c>
      <c r="B6" s="105" t="s">
        <v>267</v>
      </c>
      <c r="C6" s="106"/>
      <c r="D6" s="141"/>
      <c r="E6" s="81"/>
      <c r="F6" s="114">
        <f>C6-G6</f>
        <v>0</v>
      </c>
      <c r="G6" s="106">
        <v>0</v>
      </c>
      <c r="H6" s="114"/>
      <c r="I6" s="106"/>
      <c r="J6" s="106">
        <f>F6+G6</f>
        <v>0</v>
      </c>
      <c r="K6" s="80"/>
      <c r="L6" s="81">
        <v>673354</v>
      </c>
      <c r="M6" s="81">
        <v>673354</v>
      </c>
      <c r="N6" s="81"/>
      <c r="O6" s="81">
        <v>673354</v>
      </c>
      <c r="P6" s="80"/>
      <c r="Q6" s="80"/>
      <c r="R6" s="179"/>
      <c r="S6" s="81"/>
      <c r="T6" s="80"/>
      <c r="U6" s="81"/>
      <c r="V6" s="212"/>
      <c r="W6" s="212"/>
      <c r="X6" s="238"/>
      <c r="Y6" s="333"/>
      <c r="Z6" s="333"/>
      <c r="AA6" s="105" t="s">
        <v>74</v>
      </c>
      <c r="AB6" s="212"/>
      <c r="AC6" s="238"/>
      <c r="AD6" s="80"/>
      <c r="AE6" s="81"/>
      <c r="AF6" s="611"/>
      <c r="AG6" s="546"/>
      <c r="AH6" s="611"/>
      <c r="AI6" s="690"/>
      <c r="AJ6" s="242"/>
      <c r="AK6" s="795"/>
      <c r="AL6" s="686"/>
      <c r="AM6" s="686"/>
      <c r="AN6" s="686"/>
      <c r="AO6" s="686"/>
      <c r="AP6" s="686"/>
      <c r="AQ6" s="686"/>
    </row>
    <row r="7" spans="1:45" s="79" customFormat="1" hidden="1" x14ac:dyDescent="0.2">
      <c r="A7" s="105" t="s">
        <v>74</v>
      </c>
      <c r="B7" s="105" t="s">
        <v>358</v>
      </c>
      <c r="C7" s="106"/>
      <c r="D7" s="141"/>
      <c r="E7" s="81"/>
      <c r="F7" s="114"/>
      <c r="G7" s="106"/>
      <c r="H7" s="114"/>
      <c r="I7" s="106"/>
      <c r="J7" s="106"/>
      <c r="K7" s="80"/>
      <c r="L7" s="81"/>
      <c r="M7" s="81">
        <v>32893</v>
      </c>
      <c r="N7" s="81"/>
      <c r="O7" s="81">
        <v>32893</v>
      </c>
      <c r="P7" s="80"/>
      <c r="Q7" s="80"/>
      <c r="R7" s="179"/>
      <c r="S7" s="81"/>
      <c r="T7" s="80"/>
      <c r="U7" s="81"/>
      <c r="V7" s="212"/>
      <c r="W7" s="212"/>
      <c r="X7" s="238"/>
      <c r="Y7" s="333"/>
      <c r="Z7" s="333"/>
      <c r="AA7" s="105" t="s">
        <v>74</v>
      </c>
      <c r="AB7" s="212"/>
      <c r="AC7" s="238"/>
      <c r="AD7" s="80"/>
      <c r="AE7" s="81"/>
      <c r="AF7" s="611"/>
      <c r="AG7" s="546"/>
      <c r="AH7" s="611"/>
      <c r="AI7" s="690"/>
      <c r="AJ7" s="242"/>
      <c r="AK7" s="795"/>
      <c r="AL7" s="686"/>
      <c r="AM7" s="686"/>
      <c r="AN7" s="686"/>
      <c r="AO7" s="686"/>
      <c r="AP7" s="686"/>
      <c r="AQ7" s="686"/>
    </row>
    <row r="8" spans="1:45" s="79" customFormat="1" ht="15" hidden="1" x14ac:dyDescent="0.25">
      <c r="A8" s="105" t="s">
        <v>74</v>
      </c>
      <c r="B8" s="54" t="s">
        <v>381</v>
      </c>
      <c r="C8" s="106"/>
      <c r="D8" s="141"/>
      <c r="E8" s="81"/>
      <c r="F8" s="114"/>
      <c r="G8" s="106"/>
      <c r="H8" s="114"/>
      <c r="I8" s="106"/>
      <c r="J8" s="106"/>
      <c r="K8" s="80"/>
      <c r="L8" s="81"/>
      <c r="M8" s="81"/>
      <c r="N8" s="81"/>
      <c r="O8" s="81">
        <v>231251</v>
      </c>
      <c r="P8" s="80"/>
      <c r="Q8" s="80"/>
      <c r="R8" s="179"/>
      <c r="S8" s="81"/>
      <c r="T8" s="80"/>
      <c r="U8" s="81"/>
      <c r="V8" s="212"/>
      <c r="W8" s="212"/>
      <c r="X8" s="238"/>
      <c r="Y8" s="333"/>
      <c r="Z8" s="333"/>
      <c r="AA8" s="105" t="s">
        <v>74</v>
      </c>
      <c r="AB8" s="212"/>
      <c r="AC8" s="238"/>
      <c r="AD8" s="80"/>
      <c r="AE8" s="81"/>
      <c r="AF8" s="611"/>
      <c r="AG8" s="546"/>
      <c r="AH8" s="611"/>
      <c r="AI8" s="690"/>
      <c r="AJ8" s="242"/>
      <c r="AK8" s="795"/>
      <c r="AL8" s="686"/>
      <c r="AM8" s="686"/>
      <c r="AN8" s="686"/>
      <c r="AO8" s="686"/>
      <c r="AP8" s="686"/>
      <c r="AQ8" s="686"/>
    </row>
    <row r="9" spans="1:45" s="79" customFormat="1" ht="15" hidden="1" x14ac:dyDescent="0.25">
      <c r="A9" s="105" t="s">
        <v>74</v>
      </c>
      <c r="B9" s="54" t="s">
        <v>382</v>
      </c>
      <c r="C9" s="106"/>
      <c r="D9" s="141"/>
      <c r="E9" s="81"/>
      <c r="F9" s="114"/>
      <c r="G9" s="106"/>
      <c r="H9" s="114"/>
      <c r="I9" s="106"/>
      <c r="J9" s="106"/>
      <c r="K9" s="80"/>
      <c r="L9" s="81"/>
      <c r="M9" s="81"/>
      <c r="N9" s="81"/>
      <c r="O9" s="81">
        <v>654058</v>
      </c>
      <c r="P9" s="80"/>
      <c r="Q9" s="80"/>
      <c r="R9" s="179"/>
      <c r="S9" s="81"/>
      <c r="T9" s="80"/>
      <c r="U9" s="81"/>
      <c r="V9" s="212"/>
      <c r="W9" s="212"/>
      <c r="X9" s="238"/>
      <c r="Y9" s="333"/>
      <c r="Z9" s="333"/>
      <c r="AA9" s="105" t="s">
        <v>74</v>
      </c>
      <c r="AB9" s="212"/>
      <c r="AC9" s="238"/>
      <c r="AD9" s="80"/>
      <c r="AE9" s="81"/>
      <c r="AF9" s="611"/>
      <c r="AG9" s="546"/>
      <c r="AH9" s="611"/>
      <c r="AI9" s="690"/>
      <c r="AJ9" s="242"/>
      <c r="AK9" s="795"/>
      <c r="AL9" s="686"/>
      <c r="AM9" s="686"/>
      <c r="AN9" s="686"/>
      <c r="AO9" s="686"/>
      <c r="AP9" s="686"/>
      <c r="AQ9" s="686"/>
    </row>
    <row r="10" spans="1:45" s="79" customFormat="1" ht="15" x14ac:dyDescent="0.25">
      <c r="A10" s="105"/>
      <c r="B10" s="54" t="s">
        <v>383</v>
      </c>
      <c r="C10" s="106"/>
      <c r="D10" s="141"/>
      <c r="E10" s="81"/>
      <c r="F10" s="114"/>
      <c r="G10" s="106"/>
      <c r="H10" s="114"/>
      <c r="I10" s="106"/>
      <c r="J10" s="106"/>
      <c r="K10" s="80"/>
      <c r="L10" s="81"/>
      <c r="M10" s="81"/>
      <c r="N10" s="81"/>
      <c r="O10" s="81">
        <v>91220</v>
      </c>
      <c r="P10" s="80"/>
      <c r="Q10" s="80"/>
      <c r="R10" s="179"/>
      <c r="S10" s="81"/>
      <c r="T10" s="80"/>
      <c r="U10" s="81"/>
      <c r="V10" s="212"/>
      <c r="W10" s="212"/>
      <c r="X10" s="238"/>
      <c r="Y10" s="333"/>
      <c r="Z10" s="333"/>
      <c r="AA10" s="105"/>
      <c r="AB10" s="471" t="s">
        <v>74</v>
      </c>
      <c r="AC10" s="238"/>
      <c r="AD10" s="80"/>
      <c r="AE10" s="81"/>
      <c r="AF10" s="81"/>
      <c r="AG10" s="81"/>
      <c r="AH10" s="81"/>
      <c r="AI10" s="731"/>
      <c r="AJ10" s="242"/>
      <c r="AK10" s="782"/>
      <c r="AL10" s="686"/>
      <c r="AM10" s="686"/>
      <c r="AN10" s="686"/>
      <c r="AO10" s="686"/>
      <c r="AP10" s="686"/>
      <c r="AQ10" s="686"/>
    </row>
    <row r="11" spans="1:45" s="79" customFormat="1" ht="15" x14ac:dyDescent="0.25">
      <c r="A11" s="187" t="s">
        <v>74</v>
      </c>
      <c r="B11" s="54" t="s">
        <v>473</v>
      </c>
      <c r="C11" s="106"/>
      <c r="D11" s="141"/>
      <c r="E11" s="81"/>
      <c r="F11" s="114"/>
      <c r="G11" s="106"/>
      <c r="H11" s="149"/>
      <c r="I11" s="106"/>
      <c r="J11" s="106"/>
      <c r="K11" s="80"/>
      <c r="L11" s="81"/>
      <c r="M11" s="81"/>
      <c r="N11" s="81"/>
      <c r="O11" s="81"/>
      <c r="P11" s="80"/>
      <c r="Q11" s="80"/>
      <c r="R11" s="179"/>
      <c r="S11" s="81"/>
      <c r="T11" s="80"/>
      <c r="U11" s="81"/>
      <c r="V11" s="212">
        <v>830995</v>
      </c>
      <c r="W11" s="212"/>
      <c r="X11" s="238"/>
      <c r="Y11" s="333"/>
      <c r="Z11" s="333"/>
      <c r="AA11" s="187" t="s">
        <v>575</v>
      </c>
      <c r="AB11" t="s">
        <v>625</v>
      </c>
      <c r="AC11" s="238">
        <v>250000</v>
      </c>
      <c r="AD11" s="467">
        <f>AC11</f>
        <v>250000</v>
      </c>
      <c r="AE11" s="595"/>
      <c r="AF11" s="467" t="s">
        <v>634</v>
      </c>
      <c r="AG11" s="467"/>
      <c r="AH11" s="467" t="s">
        <v>782</v>
      </c>
      <c r="AI11" s="731"/>
      <c r="AJ11" s="829"/>
      <c r="AK11" s="884">
        <v>2000000</v>
      </c>
      <c r="AL11" s="686"/>
      <c r="AM11" s="686"/>
      <c r="AN11" s="686"/>
      <c r="AO11" s="686"/>
      <c r="AP11" s="686"/>
      <c r="AQ11" s="686"/>
    </row>
    <row r="12" spans="1:45" s="79" customFormat="1" ht="15" x14ac:dyDescent="0.25">
      <c r="A12" s="187" t="s">
        <v>74</v>
      </c>
      <c r="B12" s="54" t="s">
        <v>472</v>
      </c>
      <c r="C12" s="106"/>
      <c r="D12" s="141"/>
      <c r="E12" s="81"/>
      <c r="F12" s="114"/>
      <c r="G12" s="106"/>
      <c r="H12" s="149"/>
      <c r="I12" s="106"/>
      <c r="J12" s="106"/>
      <c r="K12" s="80"/>
      <c r="L12" s="81"/>
      <c r="M12" s="81"/>
      <c r="N12" s="81"/>
      <c r="O12" s="81"/>
      <c r="P12" s="80"/>
      <c r="Q12" s="80"/>
      <c r="R12" s="179"/>
      <c r="S12" s="81">
        <v>0</v>
      </c>
      <c r="T12" s="80"/>
      <c r="U12" s="81"/>
      <c r="V12" s="212">
        <v>464830</v>
      </c>
      <c r="W12" s="54" t="s">
        <v>472</v>
      </c>
      <c r="X12" s="238">
        <v>3500000</v>
      </c>
      <c r="Y12" s="333">
        <v>3500000</v>
      </c>
      <c r="Z12" s="333">
        <v>3500000</v>
      </c>
      <c r="AA12" s="187" t="s">
        <v>74</v>
      </c>
      <c r="AB12" s="54" t="s">
        <v>574</v>
      </c>
      <c r="AC12" s="238">
        <v>1800000</v>
      </c>
      <c r="AD12" s="467">
        <f t="shared" ref="AD12:AE84" si="0">AC12</f>
        <v>1800000</v>
      </c>
      <c r="AE12" s="467">
        <f t="shared" si="0"/>
        <v>1800000</v>
      </c>
      <c r="AF12" s="467"/>
      <c r="AG12" s="467"/>
      <c r="AH12" s="467" t="s">
        <v>743</v>
      </c>
      <c r="AI12" s="731">
        <f>1500000*1.27</f>
        <v>1905000</v>
      </c>
      <c r="AJ12" s="829">
        <f>1905000-1905000</f>
        <v>0</v>
      </c>
      <c r="AK12" s="884">
        <v>1500000</v>
      </c>
      <c r="AL12" s="686"/>
      <c r="AM12" s="686"/>
      <c r="AN12" s="686"/>
      <c r="AO12" s="686"/>
      <c r="AP12" s="686"/>
      <c r="AQ12" s="686"/>
    </row>
    <row r="13" spans="1:45" s="79" customFormat="1" ht="15" x14ac:dyDescent="0.25">
      <c r="A13" s="187" t="s">
        <v>74</v>
      </c>
      <c r="B13" s="54"/>
      <c r="C13" s="106"/>
      <c r="D13" s="141"/>
      <c r="E13" s="81"/>
      <c r="F13" s="114"/>
      <c r="G13" s="106"/>
      <c r="H13" s="149"/>
      <c r="I13" s="106"/>
      <c r="J13" s="106"/>
      <c r="K13" s="80"/>
      <c r="L13" s="81"/>
      <c r="M13" s="81"/>
      <c r="N13" s="81"/>
      <c r="O13" s="81"/>
      <c r="P13" s="80"/>
      <c r="Q13" s="80"/>
      <c r="R13" s="179"/>
      <c r="S13" s="81"/>
      <c r="T13" s="80"/>
      <c r="U13" s="81"/>
      <c r="V13" s="212"/>
      <c r="W13" s="54"/>
      <c r="X13" s="238"/>
      <c r="Y13" s="333"/>
      <c r="Z13" s="333"/>
      <c r="AA13" s="187"/>
      <c r="AB13" s="54" t="s">
        <v>626</v>
      </c>
      <c r="AC13" s="238"/>
      <c r="AD13" s="467"/>
      <c r="AE13" s="81">
        <v>2000000</v>
      </c>
      <c r="AF13" s="81"/>
      <c r="AG13" s="81"/>
      <c r="AH13" s="81" t="s">
        <v>744</v>
      </c>
      <c r="AI13" s="731"/>
      <c r="AJ13" s="829">
        <v>1828800</v>
      </c>
      <c r="AK13" s="884">
        <v>2000000</v>
      </c>
      <c r="AL13" s="686"/>
      <c r="AM13" s="686"/>
      <c r="AN13" s="686"/>
      <c r="AO13" s="686"/>
      <c r="AP13" s="686"/>
      <c r="AQ13" s="686"/>
    </row>
    <row r="14" spans="1:45" s="174" customFormat="1" x14ac:dyDescent="0.2">
      <c r="A14" s="187" t="s">
        <v>74</v>
      </c>
      <c r="B14" s="295"/>
      <c r="C14" s="296" t="e">
        <f>#REF!</f>
        <v>#REF!</v>
      </c>
      <c r="D14" s="297"/>
      <c r="E14" s="298">
        <f>SUM(E5:E6)</f>
        <v>0</v>
      </c>
      <c r="F14" s="296">
        <f>SUM(F5:F6)</f>
        <v>0</v>
      </c>
      <c r="G14" s="296">
        <f>SUM(G5:G6)</f>
        <v>0</v>
      </c>
      <c r="H14" s="296">
        <f>SUM(H2:H10)</f>
        <v>0</v>
      </c>
      <c r="I14" s="296"/>
      <c r="J14" s="296">
        <f>SUM(J5:J6)</f>
        <v>0</v>
      </c>
      <c r="K14" s="296">
        <f>SUM(K5:K6)</f>
        <v>0</v>
      </c>
      <c r="L14" s="296">
        <f>SUM(L2:L6)</f>
        <v>1668122</v>
      </c>
      <c r="M14" s="296">
        <f>SUM(M2:M7)</f>
        <v>1701015</v>
      </c>
      <c r="N14" s="296">
        <f>SUM(N2:N7)</f>
        <v>0</v>
      </c>
      <c r="O14" s="296">
        <f>SUM(O2:O10)</f>
        <v>2677544</v>
      </c>
      <c r="P14" s="299"/>
      <c r="Q14" s="299"/>
      <c r="R14" s="300">
        <f>SUM(R11:R12)</f>
        <v>0</v>
      </c>
      <c r="S14" s="300">
        <f>SUM(S11:S12)</f>
        <v>0</v>
      </c>
      <c r="T14" s="300">
        <f>SUM(T11:T12)</f>
        <v>0</v>
      </c>
      <c r="U14" s="300">
        <f>SUM(U11:U12)</f>
        <v>0</v>
      </c>
      <c r="V14" s="251">
        <f>SUM(V11:V12)</f>
        <v>1295825</v>
      </c>
      <c r="W14" s="251"/>
      <c r="X14" s="251">
        <f>SUM(X12)</f>
        <v>3500000</v>
      </c>
      <c r="Y14" s="251">
        <f t="shared" ref="Y14:Z14" si="1">SUM(Y12)</f>
        <v>3500000</v>
      </c>
      <c r="Z14" s="251">
        <f t="shared" si="1"/>
        <v>3500000</v>
      </c>
      <c r="AA14" s="295" t="s">
        <v>74</v>
      </c>
      <c r="AB14" s="594" t="s">
        <v>634</v>
      </c>
      <c r="AC14" s="544">
        <f>SUM(AC11:AC12)</f>
        <v>2050000</v>
      </c>
      <c r="AD14" s="544">
        <f>SUM(AD11:AD12)</f>
        <v>2050000</v>
      </c>
      <c r="AE14" s="594"/>
      <c r="AF14" s="81"/>
      <c r="AG14" s="81"/>
      <c r="AH14" s="81" t="s">
        <v>474</v>
      </c>
      <c r="AI14" s="732"/>
      <c r="AJ14" s="830"/>
      <c r="AK14" s="885">
        <v>200000</v>
      </c>
      <c r="AL14" s="827"/>
      <c r="AM14" s="827"/>
      <c r="AN14" s="827"/>
      <c r="AO14" s="827"/>
      <c r="AP14" s="827"/>
      <c r="AQ14" s="827"/>
      <c r="AR14" s="828"/>
      <c r="AS14" s="828"/>
    </row>
    <row r="15" spans="1:45" s="174" customFormat="1" x14ac:dyDescent="0.2">
      <c r="A15" s="543" t="s">
        <v>74</v>
      </c>
      <c r="B15" s="295"/>
      <c r="C15" s="296"/>
      <c r="D15" s="297"/>
      <c r="E15" s="298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9"/>
      <c r="Q15" s="299"/>
      <c r="R15" s="300"/>
      <c r="S15" s="300"/>
      <c r="T15" s="300"/>
      <c r="U15" s="300"/>
      <c r="V15" s="251"/>
      <c r="W15" s="251"/>
      <c r="X15" s="251"/>
      <c r="Y15" s="542"/>
      <c r="Z15" s="542"/>
      <c r="AA15" s="295"/>
      <c r="AB15" s="251"/>
      <c r="AC15" s="251"/>
      <c r="AD15" s="251"/>
      <c r="AE15" s="298">
        <f>SUM(AE11:AE14)</f>
        <v>3800000</v>
      </c>
      <c r="AF15" s="298" t="s">
        <v>684</v>
      </c>
      <c r="AG15" s="298">
        <f>SUM(AG11:AG14)</f>
        <v>0</v>
      </c>
      <c r="AH15" s="298" t="s">
        <v>684</v>
      </c>
      <c r="AI15" s="691">
        <f>SUM(AI11:AI14)</f>
        <v>1905000</v>
      </c>
      <c r="AJ15" s="691">
        <f>SUM(AJ11:AJ14)</f>
        <v>1828800</v>
      </c>
      <c r="AK15" s="883">
        <f>SUM(AK11:AK14)</f>
        <v>5700000</v>
      </c>
      <c r="AL15" s="827"/>
      <c r="AM15" s="827"/>
      <c r="AN15" s="827"/>
      <c r="AO15" s="827"/>
      <c r="AP15" s="827"/>
      <c r="AQ15" s="827"/>
      <c r="AR15" s="828"/>
      <c r="AS15" s="828"/>
    </row>
    <row r="16" spans="1:45" x14ac:dyDescent="0.2">
      <c r="A16" s="189"/>
      <c r="B16" s="189"/>
      <c r="C16" s="301"/>
      <c r="D16" s="302"/>
      <c r="E16" s="82"/>
      <c r="F16" s="303"/>
      <c r="G16" s="304"/>
      <c r="H16" s="305"/>
      <c r="I16" s="304"/>
      <c r="J16" s="304"/>
      <c r="K16" s="47"/>
      <c r="L16" s="82"/>
      <c r="M16" s="82"/>
      <c r="N16" s="82"/>
      <c r="O16" s="82"/>
      <c r="P16" s="47"/>
      <c r="Q16" s="47"/>
      <c r="R16" s="180"/>
      <c r="S16" s="82"/>
      <c r="T16" s="47"/>
      <c r="U16" s="82"/>
      <c r="V16" s="252"/>
      <c r="W16" s="253" t="s">
        <v>73</v>
      </c>
      <c r="X16" s="254"/>
      <c r="Y16" s="334"/>
      <c r="Z16" s="334"/>
      <c r="AA16" s="189"/>
      <c r="AB16" s="471" t="s">
        <v>73</v>
      </c>
      <c r="AC16" s="251"/>
      <c r="AD16" s="467"/>
      <c r="AE16" s="82"/>
      <c r="AF16" s="82"/>
      <c r="AG16" s="82"/>
      <c r="AH16" s="82"/>
      <c r="AI16" s="731"/>
      <c r="AJ16" s="792"/>
      <c r="AK16" s="826"/>
      <c r="AN16" s="742"/>
      <c r="AO16" s="742"/>
    </row>
    <row r="17" spans="1:43" ht="15" hidden="1" x14ac:dyDescent="0.25">
      <c r="A17" s="96" t="s">
        <v>73</v>
      </c>
      <c r="B17" s="97" t="s">
        <v>208</v>
      </c>
      <c r="C17" s="98">
        <f>800000*1.27</f>
        <v>1016000</v>
      </c>
      <c r="D17" s="143">
        <v>1</v>
      </c>
      <c r="E17" s="82"/>
      <c r="F17" s="115">
        <f>C17-G17</f>
        <v>1016000</v>
      </c>
      <c r="G17" s="23">
        <v>0</v>
      </c>
      <c r="H17" s="116">
        <f>C17-I17</f>
        <v>1016000</v>
      </c>
      <c r="I17" s="23"/>
      <c r="J17" s="99">
        <f>F17+G17</f>
        <v>1016000</v>
      </c>
      <c r="K17" s="47"/>
      <c r="L17" s="74">
        <f>(787235-158530)*1.27+158530</f>
        <v>956985.35</v>
      </c>
      <c r="M17" s="74">
        <v>956985</v>
      </c>
      <c r="N17" s="82"/>
      <c r="O17" s="82">
        <v>956985</v>
      </c>
      <c r="P17" s="47"/>
      <c r="Q17" s="47"/>
      <c r="R17" s="180"/>
      <c r="S17" s="82"/>
      <c r="T17" s="47"/>
      <c r="U17" s="82"/>
      <c r="V17" s="252"/>
      <c r="W17" s="252"/>
      <c r="AA17" s="96" t="s">
        <v>73</v>
      </c>
      <c r="AB17" s="252"/>
      <c r="AC17" s="251">
        <f t="shared" ref="AC17:AC27" si="2">SUM(AC16)</f>
        <v>0</v>
      </c>
      <c r="AD17" s="467">
        <f t="shared" si="0"/>
        <v>0</v>
      </c>
      <c r="AE17" s="82"/>
      <c r="AF17" s="82"/>
      <c r="AG17" s="82"/>
      <c r="AH17" s="82"/>
      <c r="AI17" s="731"/>
      <c r="AJ17" s="792"/>
      <c r="AK17" s="814"/>
    </row>
    <row r="18" spans="1:43" ht="15" hidden="1" x14ac:dyDescent="0.25">
      <c r="A18" s="96" t="s">
        <v>73</v>
      </c>
      <c r="B18" s="97" t="s">
        <v>209</v>
      </c>
      <c r="C18" s="98">
        <f>1824000*1.27</f>
        <v>2316480</v>
      </c>
      <c r="D18" s="143">
        <v>2</v>
      </c>
      <c r="E18" s="82">
        <v>2316480</v>
      </c>
      <c r="F18" s="115">
        <f t="shared" ref="F18:F99" si="3">C18-G18</f>
        <v>0</v>
      </c>
      <c r="G18" s="23">
        <v>2316480</v>
      </c>
      <c r="H18" s="116">
        <f t="shared" ref="H18:H27" si="4">C18-I18</f>
        <v>2316480</v>
      </c>
      <c r="I18" s="23"/>
      <c r="J18" s="99">
        <f t="shared" ref="J18:J33" si="5">F18+G18</f>
        <v>2316480</v>
      </c>
      <c r="K18" s="47"/>
      <c r="L18" s="82"/>
      <c r="M18" s="82"/>
      <c r="N18" s="82"/>
      <c r="O18" s="82"/>
      <c r="P18" s="47"/>
      <c r="Q18" s="47"/>
      <c r="R18" s="180"/>
      <c r="S18" s="82"/>
      <c r="T18" s="47"/>
      <c r="U18" s="82"/>
      <c r="V18" s="252"/>
      <c r="W18" s="252"/>
      <c r="AA18" s="96" t="s">
        <v>73</v>
      </c>
      <c r="AB18" s="252"/>
      <c r="AC18" s="251">
        <f t="shared" si="2"/>
        <v>0</v>
      </c>
      <c r="AD18" s="467">
        <f t="shared" si="0"/>
        <v>0</v>
      </c>
      <c r="AE18" s="82"/>
      <c r="AF18" s="82"/>
      <c r="AG18" s="82"/>
      <c r="AH18" s="82"/>
      <c r="AI18" s="731"/>
      <c r="AJ18" s="792"/>
      <c r="AK18" s="814"/>
    </row>
    <row r="19" spans="1:43" ht="15" hidden="1" x14ac:dyDescent="0.25">
      <c r="A19" s="96" t="s">
        <v>73</v>
      </c>
      <c r="B19" s="97" t="s">
        <v>136</v>
      </c>
      <c r="C19" s="98">
        <f>730000*1.27</f>
        <v>927100</v>
      </c>
      <c r="D19" s="143">
        <v>3</v>
      </c>
      <c r="E19" s="82"/>
      <c r="F19" s="115">
        <f t="shared" si="3"/>
        <v>500000</v>
      </c>
      <c r="G19" s="23">
        <v>427100</v>
      </c>
      <c r="H19" s="116">
        <f t="shared" si="4"/>
        <v>927100</v>
      </c>
      <c r="I19" s="23"/>
      <c r="J19" s="99">
        <f t="shared" si="5"/>
        <v>927100</v>
      </c>
      <c r="K19" s="47"/>
      <c r="L19" s="82">
        <f>566929*1.27</f>
        <v>719999.83</v>
      </c>
      <c r="M19" s="82">
        <v>720000</v>
      </c>
      <c r="N19" s="82"/>
      <c r="O19" s="82">
        <v>720000</v>
      </c>
      <c r="P19" s="47"/>
      <c r="Q19" s="47"/>
      <c r="R19" s="180"/>
      <c r="S19" s="82"/>
      <c r="T19" s="47"/>
      <c r="U19" s="82"/>
      <c r="V19" s="252"/>
      <c r="W19" s="252"/>
      <c r="AA19" s="96" t="s">
        <v>73</v>
      </c>
      <c r="AB19" s="252"/>
      <c r="AC19" s="251">
        <f t="shared" si="2"/>
        <v>0</v>
      </c>
      <c r="AD19" s="467">
        <f t="shared" si="0"/>
        <v>0</v>
      </c>
      <c r="AE19" s="82"/>
      <c r="AF19" s="82"/>
      <c r="AG19" s="82"/>
      <c r="AH19" s="82"/>
      <c r="AI19" s="731"/>
      <c r="AJ19" s="792"/>
      <c r="AK19" s="814"/>
    </row>
    <row r="20" spans="1:43" ht="15" hidden="1" x14ac:dyDescent="0.25">
      <c r="A20" s="96" t="s">
        <v>73</v>
      </c>
      <c r="B20" s="97" t="s">
        <v>210</v>
      </c>
      <c r="C20" s="98">
        <f>600000*1.27</f>
        <v>762000</v>
      </c>
      <c r="D20" s="143">
        <v>4</v>
      </c>
      <c r="E20" s="82"/>
      <c r="F20" s="115">
        <f t="shared" si="3"/>
        <v>762000</v>
      </c>
      <c r="G20" s="23">
        <v>0</v>
      </c>
      <c r="H20" s="116">
        <f t="shared" si="4"/>
        <v>762000</v>
      </c>
      <c r="I20" s="23"/>
      <c r="J20" s="99">
        <f t="shared" si="5"/>
        <v>762000</v>
      </c>
      <c r="K20" s="47"/>
      <c r="L20" s="82"/>
      <c r="M20" s="82"/>
      <c r="N20" s="82"/>
      <c r="O20" s="82"/>
      <c r="P20" s="47"/>
      <c r="Q20" s="47"/>
      <c r="R20" s="180"/>
      <c r="S20" s="82"/>
      <c r="T20" s="47"/>
      <c r="U20" s="82"/>
      <c r="V20" s="252"/>
      <c r="W20" s="252"/>
      <c r="AA20" s="96" t="s">
        <v>73</v>
      </c>
      <c r="AB20" s="252"/>
      <c r="AC20" s="251">
        <f t="shared" si="2"/>
        <v>0</v>
      </c>
      <c r="AD20" s="467">
        <f t="shared" si="0"/>
        <v>0</v>
      </c>
      <c r="AE20" s="82"/>
      <c r="AF20" s="82"/>
      <c r="AG20" s="82"/>
      <c r="AH20" s="82"/>
      <c r="AI20" s="731"/>
      <c r="AJ20" s="792"/>
      <c r="AK20" s="814"/>
    </row>
    <row r="21" spans="1:43" ht="15" hidden="1" x14ac:dyDescent="0.25">
      <c r="A21" s="96" t="s">
        <v>73</v>
      </c>
      <c r="B21" s="97" t="s">
        <v>211</v>
      </c>
      <c r="C21" s="98">
        <f>840000*1.27</f>
        <v>1066800</v>
      </c>
      <c r="D21" s="143">
        <v>5</v>
      </c>
      <c r="E21" s="82"/>
      <c r="F21" s="115">
        <f t="shared" si="3"/>
        <v>1066800</v>
      </c>
      <c r="G21" s="23">
        <v>0</v>
      </c>
      <c r="H21" s="116">
        <f t="shared" si="4"/>
        <v>1066800</v>
      </c>
      <c r="I21" s="23"/>
      <c r="J21" s="99">
        <f t="shared" si="5"/>
        <v>1066800</v>
      </c>
      <c r="K21" s="47"/>
      <c r="L21" s="82">
        <f>409770*1.27</f>
        <v>520407.9</v>
      </c>
      <c r="M21" s="82">
        <v>520408</v>
      </c>
      <c r="N21" s="82"/>
      <c r="O21" s="82">
        <v>520408</v>
      </c>
      <c r="P21" s="47"/>
      <c r="Q21" s="47"/>
      <c r="R21" s="180"/>
      <c r="S21" s="82"/>
      <c r="T21" s="47"/>
      <c r="U21" s="82"/>
      <c r="V21" s="252"/>
      <c r="W21" s="252"/>
      <c r="AA21" s="96" t="s">
        <v>73</v>
      </c>
      <c r="AB21" s="252"/>
      <c r="AC21" s="251">
        <f t="shared" si="2"/>
        <v>0</v>
      </c>
      <c r="AD21" s="467">
        <f t="shared" si="0"/>
        <v>0</v>
      </c>
      <c r="AE21" s="82"/>
      <c r="AF21" s="82"/>
      <c r="AG21" s="82"/>
      <c r="AH21" s="82"/>
      <c r="AI21" s="731"/>
      <c r="AJ21" s="792"/>
      <c r="AK21" s="814"/>
    </row>
    <row r="22" spans="1:43" ht="15" hidden="1" x14ac:dyDescent="0.25">
      <c r="A22" s="96" t="s">
        <v>73</v>
      </c>
      <c r="B22" s="97" t="s">
        <v>137</v>
      </c>
      <c r="C22" s="98">
        <f>300000*1.27</f>
        <v>381000</v>
      </c>
      <c r="D22" s="143">
        <v>6</v>
      </c>
      <c r="E22" s="82"/>
      <c r="F22" s="115">
        <f t="shared" si="3"/>
        <v>0</v>
      </c>
      <c r="G22" s="23">
        <v>381000</v>
      </c>
      <c r="H22" s="116">
        <f t="shared" si="4"/>
        <v>381000</v>
      </c>
      <c r="I22" s="23"/>
      <c r="J22" s="99">
        <f t="shared" si="5"/>
        <v>381000</v>
      </c>
      <c r="K22" s="47"/>
      <c r="L22" s="82"/>
      <c r="M22" s="82"/>
      <c r="N22" s="82"/>
      <c r="O22" s="82"/>
      <c r="P22" s="47"/>
      <c r="Q22" s="47"/>
      <c r="R22" s="180"/>
      <c r="S22" s="82"/>
      <c r="T22" s="47"/>
      <c r="U22" s="82"/>
      <c r="V22" s="252"/>
      <c r="W22" s="252"/>
      <c r="AA22" s="96" t="s">
        <v>73</v>
      </c>
      <c r="AB22" s="252"/>
      <c r="AC22" s="251">
        <f t="shared" si="2"/>
        <v>0</v>
      </c>
      <c r="AD22" s="467">
        <f t="shared" si="0"/>
        <v>0</v>
      </c>
      <c r="AE22" s="82"/>
      <c r="AF22" s="82"/>
      <c r="AG22" s="82"/>
      <c r="AH22" s="82"/>
      <c r="AI22" s="731"/>
      <c r="AJ22" s="792"/>
      <c r="AK22" s="814"/>
    </row>
    <row r="23" spans="1:43" ht="15" hidden="1" x14ac:dyDescent="0.25">
      <c r="A23" s="96" t="s">
        <v>73</v>
      </c>
      <c r="B23" s="97" t="s">
        <v>212</v>
      </c>
      <c r="C23" s="98">
        <f>9600000*1.27</f>
        <v>12192000</v>
      </c>
      <c r="D23" s="143">
        <v>7</v>
      </c>
      <c r="E23" s="82"/>
      <c r="F23" s="115">
        <f t="shared" si="3"/>
        <v>0</v>
      </c>
      <c r="G23" s="98">
        <f>9600000*1.27</f>
        <v>12192000</v>
      </c>
      <c r="H23" s="116">
        <f t="shared" si="4"/>
        <v>12192000</v>
      </c>
      <c r="I23" s="98"/>
      <c r="J23" s="99">
        <f t="shared" si="5"/>
        <v>12192000</v>
      </c>
      <c r="K23" s="47"/>
      <c r="L23" s="47"/>
      <c r="M23" s="47"/>
      <c r="N23" s="82"/>
      <c r="O23" s="82"/>
      <c r="P23" s="47"/>
      <c r="Q23" s="47"/>
      <c r="R23" s="180"/>
      <c r="S23" s="82"/>
      <c r="T23" s="47"/>
      <c r="U23" s="82"/>
      <c r="V23" s="252"/>
      <c r="W23" s="252"/>
      <c r="AA23" s="96" t="s">
        <v>73</v>
      </c>
      <c r="AB23" s="252"/>
      <c r="AC23" s="251">
        <f t="shared" si="2"/>
        <v>0</v>
      </c>
      <c r="AD23" s="467">
        <f t="shared" si="0"/>
        <v>0</v>
      </c>
      <c r="AE23" s="82"/>
      <c r="AF23" s="82"/>
      <c r="AG23" s="82"/>
      <c r="AH23" s="82"/>
      <c r="AI23" s="731"/>
      <c r="AJ23" s="792"/>
      <c r="AK23" s="814"/>
    </row>
    <row r="24" spans="1:43" ht="15" hidden="1" x14ac:dyDescent="0.25">
      <c r="A24" s="96" t="s">
        <v>73</v>
      </c>
      <c r="B24" s="54" t="s">
        <v>336</v>
      </c>
      <c r="C24" s="98"/>
      <c r="D24" s="143"/>
      <c r="E24" s="82"/>
      <c r="F24" s="115">
        <f t="shared" si="3"/>
        <v>0</v>
      </c>
      <c r="G24" s="98"/>
      <c r="H24" s="116">
        <f t="shared" si="4"/>
        <v>0</v>
      </c>
      <c r="I24" s="98"/>
      <c r="J24" s="99">
        <f t="shared" si="5"/>
        <v>0</v>
      </c>
      <c r="K24" s="47"/>
      <c r="L24" s="82">
        <f>78740*1.27</f>
        <v>99999.8</v>
      </c>
      <c r="M24" s="82">
        <v>100000</v>
      </c>
      <c r="N24" s="82"/>
      <c r="O24" s="82">
        <v>100000</v>
      </c>
      <c r="P24" s="47"/>
      <c r="Q24" s="47"/>
      <c r="R24" s="180"/>
      <c r="S24" s="82"/>
      <c r="T24" s="47"/>
      <c r="U24" s="82"/>
      <c r="V24" s="252"/>
      <c r="W24" s="252"/>
      <c r="AA24" s="96" t="s">
        <v>73</v>
      </c>
      <c r="AB24" s="252"/>
      <c r="AC24" s="251">
        <f t="shared" si="2"/>
        <v>0</v>
      </c>
      <c r="AD24" s="467">
        <f t="shared" si="0"/>
        <v>0</v>
      </c>
      <c r="AE24" s="82"/>
      <c r="AF24" s="82"/>
      <c r="AG24" s="82"/>
      <c r="AH24" s="82"/>
      <c r="AI24" s="731"/>
      <c r="AJ24" s="792"/>
      <c r="AK24" s="814"/>
    </row>
    <row r="25" spans="1:43" ht="15" hidden="1" x14ac:dyDescent="0.25">
      <c r="A25" s="96" t="s">
        <v>73</v>
      </c>
      <c r="B25" s="54" t="s">
        <v>337</v>
      </c>
      <c r="C25" s="98"/>
      <c r="D25" s="143"/>
      <c r="E25" s="82"/>
      <c r="F25" s="115">
        <f t="shared" si="3"/>
        <v>0</v>
      </c>
      <c r="G25" s="98"/>
      <c r="H25" s="116">
        <f t="shared" si="4"/>
        <v>0</v>
      </c>
      <c r="I25" s="98"/>
      <c r="J25" s="99">
        <f t="shared" si="5"/>
        <v>0</v>
      </c>
      <c r="K25" s="47"/>
      <c r="L25" s="82">
        <f>10748*1.27</f>
        <v>13649.960000000001</v>
      </c>
      <c r="M25" s="82">
        <v>13650</v>
      </c>
      <c r="N25" s="82"/>
      <c r="O25" s="82">
        <v>13650</v>
      </c>
      <c r="P25" s="47"/>
      <c r="Q25" s="47"/>
      <c r="R25" s="180"/>
      <c r="S25" s="82"/>
      <c r="T25" s="47"/>
      <c r="U25" s="82"/>
      <c r="V25" s="252"/>
      <c r="W25" s="252"/>
      <c r="AA25" s="96" t="s">
        <v>73</v>
      </c>
      <c r="AB25" s="252"/>
      <c r="AC25" s="251">
        <f t="shared" si="2"/>
        <v>0</v>
      </c>
      <c r="AD25" s="467">
        <f t="shared" si="0"/>
        <v>0</v>
      </c>
      <c r="AE25" s="82"/>
      <c r="AF25" s="82"/>
      <c r="AG25" s="82"/>
      <c r="AH25" s="82"/>
      <c r="AI25" s="731"/>
      <c r="AJ25" s="792"/>
      <c r="AK25" s="814"/>
    </row>
    <row r="26" spans="1:43" ht="15" hidden="1" x14ac:dyDescent="0.25">
      <c r="A26" s="96" t="s">
        <v>73</v>
      </c>
      <c r="B26" s="54" t="s">
        <v>359</v>
      </c>
      <c r="C26" s="98"/>
      <c r="D26" s="143"/>
      <c r="E26" s="82"/>
      <c r="F26" s="115"/>
      <c r="G26" s="98"/>
      <c r="H26" s="116">
        <f t="shared" si="4"/>
        <v>0</v>
      </c>
      <c r="I26" s="98"/>
      <c r="J26" s="99"/>
      <c r="K26" s="47"/>
      <c r="L26" s="82"/>
      <c r="M26" s="82">
        <v>88900</v>
      </c>
      <c r="N26" s="82"/>
      <c r="O26" s="82">
        <v>88900</v>
      </c>
      <c r="P26" s="47"/>
      <c r="Q26" s="47"/>
      <c r="R26" s="180"/>
      <c r="S26" s="82"/>
      <c r="T26" s="47"/>
      <c r="U26" s="82"/>
      <c r="V26" s="252"/>
      <c r="W26" s="252"/>
      <c r="AA26" s="96" t="s">
        <v>73</v>
      </c>
      <c r="AB26" s="252"/>
      <c r="AC26" s="251">
        <f t="shared" si="2"/>
        <v>0</v>
      </c>
      <c r="AD26" s="467">
        <f t="shared" si="0"/>
        <v>0</v>
      </c>
      <c r="AE26" s="82"/>
      <c r="AF26" s="82"/>
      <c r="AG26" s="82"/>
      <c r="AH26" s="82"/>
      <c r="AI26" s="731"/>
      <c r="AJ26" s="792"/>
      <c r="AK26" s="814"/>
    </row>
    <row r="27" spans="1:43" ht="15" hidden="1" x14ac:dyDescent="0.25">
      <c r="A27" s="96" t="s">
        <v>73</v>
      </c>
      <c r="B27" s="54" t="s">
        <v>380</v>
      </c>
      <c r="C27" s="98"/>
      <c r="D27" s="143"/>
      <c r="E27" s="82"/>
      <c r="F27" s="115"/>
      <c r="G27" s="98"/>
      <c r="H27" s="116">
        <f t="shared" si="4"/>
        <v>0</v>
      </c>
      <c r="I27" s="98"/>
      <c r="J27" s="99"/>
      <c r="K27" s="47"/>
      <c r="L27" s="82"/>
      <c r="M27" s="82"/>
      <c r="N27" s="82"/>
      <c r="O27" s="82">
        <v>910000</v>
      </c>
      <c r="P27" s="47"/>
      <c r="Q27" s="47"/>
      <c r="R27" s="180"/>
      <c r="S27" s="82"/>
      <c r="T27" s="47"/>
      <c r="U27" s="82"/>
      <c r="V27" s="252"/>
      <c r="W27" s="252"/>
      <c r="AA27" s="96" t="s">
        <v>73</v>
      </c>
      <c r="AB27" s="252"/>
      <c r="AC27" s="251">
        <f t="shared" si="2"/>
        <v>0</v>
      </c>
      <c r="AD27" s="467">
        <f t="shared" si="0"/>
        <v>0</v>
      </c>
      <c r="AE27" s="82"/>
      <c r="AF27" s="82"/>
      <c r="AG27" s="82"/>
      <c r="AH27" s="82"/>
      <c r="AI27" s="731"/>
      <c r="AJ27" s="792"/>
      <c r="AK27" s="814"/>
    </row>
    <row r="28" spans="1:43" s="8" customFormat="1" ht="15" x14ac:dyDescent="0.25">
      <c r="A28" s="186" t="s">
        <v>73</v>
      </c>
      <c r="B28" s="175" t="s">
        <v>347</v>
      </c>
      <c r="C28" s="36">
        <v>635000</v>
      </c>
      <c r="D28" s="176">
        <v>1</v>
      </c>
      <c r="E28" s="74"/>
      <c r="F28" s="177">
        <f>C28-G28</f>
        <v>635000</v>
      </c>
      <c r="G28" s="178"/>
      <c r="H28" s="177">
        <f>C28-I28</f>
        <v>635000</v>
      </c>
      <c r="I28" s="178"/>
      <c r="J28" s="36">
        <f t="shared" si="5"/>
        <v>635000</v>
      </c>
      <c r="K28" s="24"/>
      <c r="L28" s="74"/>
      <c r="M28" s="74"/>
      <c r="N28" s="74">
        <v>635000</v>
      </c>
      <c r="O28" s="74"/>
      <c r="P28" s="74">
        <v>635000</v>
      </c>
      <c r="Q28" s="24"/>
      <c r="R28" s="181">
        <f>C28-S28</f>
        <v>635000</v>
      </c>
      <c r="S28" s="74"/>
      <c r="T28" s="9"/>
      <c r="U28" s="74">
        <f>579000*1.27</f>
        <v>735330</v>
      </c>
      <c r="V28" s="74">
        <f>579000*1.27</f>
        <v>735330</v>
      </c>
      <c r="W28" s="74" t="s">
        <v>501</v>
      </c>
      <c r="X28" s="241">
        <v>2000000</v>
      </c>
      <c r="Y28" s="241">
        <v>2000000</v>
      </c>
      <c r="Z28" s="241">
        <v>2000000</v>
      </c>
      <c r="AA28" s="186" t="s">
        <v>73</v>
      </c>
      <c r="AB28" t="s">
        <v>627</v>
      </c>
      <c r="AC28" s="241">
        <v>2500000</v>
      </c>
      <c r="AD28" s="467">
        <v>2500000</v>
      </c>
      <c r="AE28" s="467"/>
      <c r="AF28" s="624" t="s">
        <v>667</v>
      </c>
      <c r="AG28" s="625">
        <v>254000</v>
      </c>
      <c r="AH28" s="813" t="s">
        <v>777</v>
      </c>
      <c r="AI28" s="733">
        <v>4500000</v>
      </c>
      <c r="AJ28" s="831">
        <v>2540000</v>
      </c>
      <c r="AK28" s="832">
        <v>3000000</v>
      </c>
      <c r="AL28" s="685"/>
      <c r="AM28" s="685"/>
      <c r="AN28" s="685"/>
      <c r="AO28" s="685"/>
      <c r="AP28" s="685"/>
      <c r="AQ28" s="685"/>
    </row>
    <row r="29" spans="1:43" s="8" customFormat="1" ht="30" x14ac:dyDescent="0.25">
      <c r="A29" s="186" t="s">
        <v>73</v>
      </c>
      <c r="B29" s="175" t="s">
        <v>415</v>
      </c>
      <c r="C29" s="36">
        <v>350000</v>
      </c>
      <c r="D29" s="176">
        <v>2</v>
      </c>
      <c r="E29" s="74"/>
      <c r="F29" s="177">
        <f t="shared" si="3"/>
        <v>350000</v>
      </c>
      <c r="G29" s="178"/>
      <c r="H29" s="177">
        <f t="shared" ref="H29:H33" si="6">C29-I29</f>
        <v>350000</v>
      </c>
      <c r="I29" s="178"/>
      <c r="J29" s="36">
        <f t="shared" si="5"/>
        <v>350000</v>
      </c>
      <c r="K29" s="24"/>
      <c r="L29" s="74"/>
      <c r="M29" s="74"/>
      <c r="N29" s="74">
        <v>350000</v>
      </c>
      <c r="O29" s="74"/>
      <c r="P29" s="74">
        <v>350000</v>
      </c>
      <c r="Q29" s="24"/>
      <c r="R29" s="181">
        <f t="shared" ref="R29:R33" si="7">C29-S29</f>
        <v>350000</v>
      </c>
      <c r="S29" s="74"/>
      <c r="T29" s="9"/>
      <c r="U29" s="74">
        <f>258661*1.27</f>
        <v>328499.47000000003</v>
      </c>
      <c r="V29" s="74">
        <f>258661*1.27</f>
        <v>328499.47000000003</v>
      </c>
      <c r="W29" s="74" t="s">
        <v>503</v>
      </c>
      <c r="X29" s="241">
        <v>1500000</v>
      </c>
      <c r="Y29" s="241">
        <v>1500000</v>
      </c>
      <c r="Z29" s="241"/>
      <c r="AA29" s="186" t="s">
        <v>73</v>
      </c>
      <c r="AB29" t="s">
        <v>628</v>
      </c>
      <c r="AC29" s="241">
        <v>200000</v>
      </c>
      <c r="AD29" s="467">
        <f t="shared" si="0"/>
        <v>200000</v>
      </c>
      <c r="AE29" s="467"/>
      <c r="AF29" s="54" t="s">
        <v>668</v>
      </c>
      <c r="AG29" s="626">
        <v>50000</v>
      </c>
      <c r="AH29" s="624" t="s">
        <v>737</v>
      </c>
      <c r="AI29" s="733">
        <v>600000</v>
      </c>
      <c r="AJ29" s="831">
        <f>3175000-2000000</f>
        <v>1175000</v>
      </c>
      <c r="AK29" s="832"/>
      <c r="AL29" s="685"/>
      <c r="AM29" s="685"/>
      <c r="AN29" s="685"/>
      <c r="AO29" s="685"/>
      <c r="AP29" s="685"/>
      <c r="AQ29" s="685"/>
    </row>
    <row r="30" spans="1:43" s="8" customFormat="1" ht="15" x14ac:dyDescent="0.25">
      <c r="A30" s="186" t="s">
        <v>73</v>
      </c>
      <c r="B30" s="175" t="s">
        <v>348</v>
      </c>
      <c r="C30" s="36">
        <v>650000</v>
      </c>
      <c r="D30" s="176">
        <v>3</v>
      </c>
      <c r="E30" s="74"/>
      <c r="F30" s="177">
        <f t="shared" si="3"/>
        <v>650000</v>
      </c>
      <c r="G30" s="178"/>
      <c r="H30" s="177">
        <f t="shared" si="6"/>
        <v>650000</v>
      </c>
      <c r="I30" s="178"/>
      <c r="J30" s="36">
        <f t="shared" si="5"/>
        <v>650000</v>
      </c>
      <c r="K30" s="24"/>
      <c r="L30" s="74"/>
      <c r="M30" s="74"/>
      <c r="N30" s="74">
        <v>650000</v>
      </c>
      <c r="O30" s="74"/>
      <c r="P30" s="74">
        <v>650000</v>
      </c>
      <c r="Q30" s="24"/>
      <c r="R30" s="181">
        <f t="shared" si="7"/>
        <v>650000</v>
      </c>
      <c r="S30" s="74"/>
      <c r="T30" s="9"/>
      <c r="U30" s="74">
        <f>915117*1.27</f>
        <v>1162198.5900000001</v>
      </c>
      <c r="V30" s="74">
        <f>915117*1.27</f>
        <v>1162198.5900000001</v>
      </c>
      <c r="W30" s="74" t="s">
        <v>504</v>
      </c>
      <c r="X30" s="241">
        <v>1500000</v>
      </c>
      <c r="Y30" s="241">
        <v>1500000</v>
      </c>
      <c r="Z30" s="241">
        <v>1000000</v>
      </c>
      <c r="AA30" s="186" t="s">
        <v>73</v>
      </c>
      <c r="AB30" s="421" t="s">
        <v>629</v>
      </c>
      <c r="AC30" s="241">
        <v>300000</v>
      </c>
      <c r="AD30" s="467">
        <f t="shared" si="0"/>
        <v>300000</v>
      </c>
      <c r="AE30" s="467"/>
      <c r="AF30" s="54" t="s">
        <v>669</v>
      </c>
      <c r="AG30" s="626">
        <v>63500</v>
      </c>
      <c r="AH30" s="763" t="s">
        <v>756</v>
      </c>
      <c r="AI30" s="764">
        <v>300000</v>
      </c>
      <c r="AJ30" s="833">
        <v>1976390</v>
      </c>
      <c r="AK30" s="832"/>
      <c r="AL30" s="685"/>
      <c r="AM30" s="685"/>
      <c r="AN30" s="685"/>
      <c r="AO30" s="685"/>
      <c r="AP30" s="685"/>
      <c r="AQ30" s="685"/>
    </row>
    <row r="31" spans="1:43" s="8" customFormat="1" ht="15" x14ac:dyDescent="0.25">
      <c r="A31" s="186" t="s">
        <v>73</v>
      </c>
      <c r="B31" s="175" t="s">
        <v>414</v>
      </c>
      <c r="C31" s="36">
        <v>200000</v>
      </c>
      <c r="D31" s="176">
        <v>4</v>
      </c>
      <c r="E31" s="74"/>
      <c r="F31" s="177">
        <f t="shared" si="3"/>
        <v>200000</v>
      </c>
      <c r="G31" s="178"/>
      <c r="H31" s="177">
        <f t="shared" si="6"/>
        <v>200000</v>
      </c>
      <c r="I31" s="178"/>
      <c r="J31" s="36">
        <f t="shared" si="5"/>
        <v>200000</v>
      </c>
      <c r="K31" s="24"/>
      <c r="L31" s="74"/>
      <c r="M31" s="74"/>
      <c r="N31" s="74">
        <v>200000</v>
      </c>
      <c r="O31" s="74"/>
      <c r="P31" s="74">
        <v>200000</v>
      </c>
      <c r="Q31" s="24"/>
      <c r="R31" s="181">
        <f t="shared" si="7"/>
        <v>200000</v>
      </c>
      <c r="S31" s="74"/>
      <c r="T31" s="9"/>
      <c r="U31" s="74"/>
      <c r="V31" s="74"/>
      <c r="W31" s="74" t="s">
        <v>505</v>
      </c>
      <c r="X31" s="241">
        <v>300000</v>
      </c>
      <c r="Y31" s="241">
        <v>300000</v>
      </c>
      <c r="Z31" s="241"/>
      <c r="AA31" s="186" t="s">
        <v>73</v>
      </c>
      <c r="AB31" t="s">
        <v>630</v>
      </c>
      <c r="AC31" s="241">
        <v>200000</v>
      </c>
      <c r="AD31" s="467">
        <f t="shared" si="0"/>
        <v>200000</v>
      </c>
      <c r="AE31" s="467">
        <v>300000</v>
      </c>
      <c r="AF31" s="54" t="s">
        <v>670</v>
      </c>
      <c r="AG31" s="626">
        <v>254000</v>
      </c>
      <c r="AH31" s="624"/>
      <c r="AI31" s="734"/>
      <c r="AJ31" s="833"/>
      <c r="AK31" s="832"/>
      <c r="AL31" s="685"/>
      <c r="AM31" s="685"/>
      <c r="AN31" s="685"/>
      <c r="AO31" s="685"/>
      <c r="AP31" s="685"/>
      <c r="AQ31" s="685"/>
    </row>
    <row r="32" spans="1:43" s="8" customFormat="1" ht="15" x14ac:dyDescent="0.25">
      <c r="A32" s="186" t="s">
        <v>73</v>
      </c>
      <c r="B32" s="175" t="s">
        <v>413</v>
      </c>
      <c r="C32" s="36">
        <v>2300000</v>
      </c>
      <c r="D32" s="176">
        <v>5</v>
      </c>
      <c r="E32" s="74"/>
      <c r="F32" s="177">
        <f t="shared" si="3"/>
        <v>0</v>
      </c>
      <c r="G32" s="178">
        <v>2300000</v>
      </c>
      <c r="H32" s="177">
        <f t="shared" si="6"/>
        <v>0</v>
      </c>
      <c r="I32" s="178">
        <v>2300000</v>
      </c>
      <c r="J32" s="36">
        <f t="shared" si="5"/>
        <v>2300000</v>
      </c>
      <c r="K32" s="24"/>
      <c r="L32" s="74"/>
      <c r="M32" s="74"/>
      <c r="N32" s="74">
        <v>2300000</v>
      </c>
      <c r="O32" s="74"/>
      <c r="P32" s="74">
        <v>2300000</v>
      </c>
      <c r="Q32" s="24"/>
      <c r="R32" s="181">
        <f t="shared" si="7"/>
        <v>2300000</v>
      </c>
      <c r="S32" s="74"/>
      <c r="T32" s="9"/>
      <c r="U32" s="74">
        <v>2256000</v>
      </c>
      <c r="V32" s="74">
        <v>2256001</v>
      </c>
      <c r="W32" s="74" t="s">
        <v>506</v>
      </c>
      <c r="X32" s="241">
        <v>150000</v>
      </c>
      <c r="Y32" s="241">
        <v>150000</v>
      </c>
      <c r="Z32" s="241">
        <v>150000</v>
      </c>
      <c r="AA32" s="186" t="s">
        <v>73</v>
      </c>
      <c r="AB32" s="421" t="s">
        <v>631</v>
      </c>
      <c r="AC32" s="241">
        <v>200000</v>
      </c>
      <c r="AD32" s="467">
        <f t="shared" si="0"/>
        <v>200000</v>
      </c>
      <c r="AE32" s="467"/>
      <c r="AF32" s="54" t="s">
        <v>671</v>
      </c>
      <c r="AG32" s="626"/>
      <c r="AH32" s="624"/>
      <c r="AI32" s="734"/>
      <c r="AJ32" s="833"/>
      <c r="AK32" s="832"/>
      <c r="AL32" s="685"/>
      <c r="AM32" s="685"/>
      <c r="AN32" s="685"/>
      <c r="AO32" s="685"/>
      <c r="AP32" s="685"/>
      <c r="AQ32" s="685"/>
    </row>
    <row r="33" spans="1:43" s="8" customFormat="1" ht="15" x14ac:dyDescent="0.25">
      <c r="A33" s="186" t="s">
        <v>73</v>
      </c>
      <c r="B33" s="175" t="s">
        <v>212</v>
      </c>
      <c r="C33" s="36">
        <v>12192000</v>
      </c>
      <c r="D33" s="176"/>
      <c r="E33" s="74">
        <v>12192000</v>
      </c>
      <c r="F33" s="177">
        <f t="shared" si="3"/>
        <v>0</v>
      </c>
      <c r="G33" s="178">
        <v>12192000</v>
      </c>
      <c r="H33" s="177">
        <f t="shared" si="6"/>
        <v>0</v>
      </c>
      <c r="I33" s="178">
        <v>12192000</v>
      </c>
      <c r="J33" s="36">
        <f t="shared" si="5"/>
        <v>12192000</v>
      </c>
      <c r="K33" s="24"/>
      <c r="L33" s="74"/>
      <c r="M33" s="74"/>
      <c r="N33" s="74">
        <v>12192000</v>
      </c>
      <c r="O33" s="74"/>
      <c r="P33" s="74">
        <v>12192000</v>
      </c>
      <c r="Q33" s="24"/>
      <c r="R33" s="181">
        <f t="shared" si="7"/>
        <v>0</v>
      </c>
      <c r="S33" s="74">
        <v>12192000</v>
      </c>
      <c r="T33" s="9"/>
      <c r="U33" s="74"/>
      <c r="V33" s="74"/>
      <c r="W33" s="74" t="s">
        <v>507</v>
      </c>
      <c r="X33" s="241">
        <v>250000</v>
      </c>
      <c r="Y33" s="241">
        <v>250000</v>
      </c>
      <c r="Z33" s="241"/>
      <c r="AA33" s="186" t="s">
        <v>73</v>
      </c>
      <c r="AB33" t="s">
        <v>632</v>
      </c>
      <c r="AC33" s="241">
        <v>300000</v>
      </c>
      <c r="AD33" s="467">
        <f t="shared" si="0"/>
        <v>300000</v>
      </c>
      <c r="AE33" s="467">
        <v>400000</v>
      </c>
      <c r="AF33" s="54" t="s">
        <v>672</v>
      </c>
      <c r="AG33" s="626">
        <v>200000</v>
      </c>
      <c r="AH33" s="812" t="s">
        <v>715</v>
      </c>
      <c r="AI33" s="734"/>
      <c r="AJ33" s="833">
        <v>1270000</v>
      </c>
      <c r="AK33" s="832">
        <v>1000000</v>
      </c>
      <c r="AL33" s="685"/>
      <c r="AM33" s="685"/>
      <c r="AN33" s="685"/>
      <c r="AO33" s="685"/>
      <c r="AP33" s="685"/>
      <c r="AQ33" s="685"/>
    </row>
    <row r="34" spans="1:43" s="8" customFormat="1" ht="15" x14ac:dyDescent="0.25">
      <c r="A34" s="186" t="s">
        <v>73</v>
      </c>
      <c r="B34" s="54" t="s">
        <v>458</v>
      </c>
      <c r="C34" s="36"/>
      <c r="D34" s="176"/>
      <c r="E34" s="74"/>
      <c r="F34" s="177"/>
      <c r="G34" s="178"/>
      <c r="H34" s="177"/>
      <c r="I34" s="178"/>
      <c r="J34" s="36"/>
      <c r="K34" s="24"/>
      <c r="L34" s="74"/>
      <c r="M34" s="74"/>
      <c r="N34" s="74"/>
      <c r="O34" s="74"/>
      <c r="P34" s="74"/>
      <c r="Q34" s="24"/>
      <c r="R34" s="181"/>
      <c r="S34" s="74"/>
      <c r="T34" s="9"/>
      <c r="U34" s="191">
        <f>124401*1.27</f>
        <v>157989.26999999999</v>
      </c>
      <c r="V34" s="191">
        <f>124401*1.27</f>
        <v>157989.26999999999</v>
      </c>
      <c r="W34" s="191" t="s">
        <v>508</v>
      </c>
      <c r="X34" s="241">
        <v>300000</v>
      </c>
      <c r="Y34" s="241">
        <v>300000</v>
      </c>
      <c r="Z34" s="241">
        <v>300000</v>
      </c>
      <c r="AA34" s="186" t="s">
        <v>73</v>
      </c>
      <c r="AB34" s="596" t="s">
        <v>648</v>
      </c>
      <c r="AC34" s="241"/>
      <c r="AD34" s="467"/>
      <c r="AE34" s="467">
        <v>425822</v>
      </c>
      <c r="AF34" s="54"/>
      <c r="AG34" s="626"/>
      <c r="AH34" s="812" t="s">
        <v>778</v>
      </c>
      <c r="AI34" s="734"/>
      <c r="AJ34" s="833"/>
      <c r="AK34" s="832">
        <v>380000</v>
      </c>
      <c r="AL34" s="685"/>
      <c r="AM34" s="685"/>
      <c r="AN34" s="685"/>
      <c r="AO34" s="685"/>
      <c r="AP34" s="685"/>
      <c r="AQ34" s="685"/>
    </row>
    <row r="35" spans="1:43" s="8" customFormat="1" ht="15" x14ac:dyDescent="0.25">
      <c r="A35" s="186" t="s">
        <v>73</v>
      </c>
      <c r="B35" s="54" t="s">
        <v>456</v>
      </c>
      <c r="C35" s="36"/>
      <c r="D35" s="176"/>
      <c r="E35" s="74"/>
      <c r="F35" s="177"/>
      <c r="G35" s="178"/>
      <c r="H35" s="177"/>
      <c r="I35" s="178"/>
      <c r="J35" s="36"/>
      <c r="K35" s="24"/>
      <c r="L35" s="74"/>
      <c r="M35" s="74"/>
      <c r="N35" s="74"/>
      <c r="O35" s="74"/>
      <c r="P35" s="74"/>
      <c r="Q35" s="24"/>
      <c r="R35" s="181"/>
      <c r="S35" s="74"/>
      <c r="T35" s="9"/>
      <c r="U35" s="191">
        <f>61209*1.27</f>
        <v>77735.430000000008</v>
      </c>
      <c r="V35" s="191">
        <f>61209*1.27</f>
        <v>77735.430000000008</v>
      </c>
      <c r="W35" s="191" t="s">
        <v>509</v>
      </c>
      <c r="X35" s="241">
        <v>1700000</v>
      </c>
      <c r="Y35" s="241"/>
      <c r="Z35" s="241"/>
      <c r="AA35" s="186" t="s">
        <v>73</v>
      </c>
      <c r="AB35" s="422"/>
      <c r="AC35" s="241"/>
      <c r="AD35" s="467">
        <f t="shared" si="0"/>
        <v>0</v>
      </c>
      <c r="AE35" s="92"/>
      <c r="AF35" s="54"/>
      <c r="AG35" s="626"/>
      <c r="AH35"/>
      <c r="AI35" s="731"/>
      <c r="AJ35" s="834"/>
      <c r="AK35" s="832"/>
      <c r="AL35" s="685"/>
      <c r="AM35" s="685"/>
      <c r="AN35" s="685"/>
      <c r="AO35" s="685"/>
      <c r="AP35" s="685"/>
      <c r="AQ35" s="685"/>
    </row>
    <row r="36" spans="1:43" s="8" customFormat="1" ht="30" x14ac:dyDescent="0.25">
      <c r="A36" s="186" t="s">
        <v>73</v>
      </c>
      <c r="B36" s="54"/>
      <c r="C36" s="36"/>
      <c r="D36" s="176"/>
      <c r="E36" s="74"/>
      <c r="F36" s="177"/>
      <c r="G36" s="178"/>
      <c r="H36" s="177"/>
      <c r="I36" s="178"/>
      <c r="J36" s="36"/>
      <c r="K36" s="24"/>
      <c r="L36" s="74"/>
      <c r="M36" s="74"/>
      <c r="N36" s="74"/>
      <c r="O36" s="74"/>
      <c r="P36" s="74"/>
      <c r="Q36" s="24"/>
      <c r="R36" s="181"/>
      <c r="S36" s="74"/>
      <c r="T36" s="9"/>
      <c r="U36" s="191"/>
      <c r="V36" s="191"/>
      <c r="W36" s="191"/>
      <c r="X36" s="241"/>
      <c r="Y36" s="241"/>
      <c r="Z36" s="241"/>
      <c r="AA36" s="186"/>
      <c r="AB36" s="422"/>
      <c r="AC36" s="241"/>
      <c r="AD36" s="467"/>
      <c r="AE36" s="92"/>
      <c r="AF36" s="624" t="s">
        <v>673</v>
      </c>
      <c r="AG36" s="626"/>
      <c r="AH36" s="54" t="s">
        <v>676</v>
      </c>
      <c r="AI36" s="732"/>
      <c r="AJ36" s="835"/>
      <c r="AK36" s="836"/>
      <c r="AL36" s="685"/>
      <c r="AM36" s="685"/>
      <c r="AN36" s="685"/>
      <c r="AO36" s="685"/>
      <c r="AP36" s="685"/>
      <c r="AQ36" s="685"/>
    </row>
    <row r="37" spans="1:43" s="8" customFormat="1" ht="15" x14ac:dyDescent="0.25">
      <c r="A37" s="186" t="s">
        <v>73</v>
      </c>
      <c r="B37" s="54"/>
      <c r="C37" s="36"/>
      <c r="D37" s="176"/>
      <c r="E37" s="74"/>
      <c r="F37" s="177"/>
      <c r="G37" s="178"/>
      <c r="H37" s="177"/>
      <c r="I37" s="178"/>
      <c r="J37" s="36"/>
      <c r="K37" s="24"/>
      <c r="L37" s="74"/>
      <c r="M37" s="74"/>
      <c r="N37" s="74"/>
      <c r="O37" s="74"/>
      <c r="P37" s="74"/>
      <c r="Q37" s="24"/>
      <c r="R37" s="181"/>
      <c r="S37" s="74"/>
      <c r="T37" s="9"/>
      <c r="U37" s="191"/>
      <c r="V37" s="191"/>
      <c r="W37" s="191"/>
      <c r="X37" s="241"/>
      <c r="Y37" s="241"/>
      <c r="Z37" s="241"/>
      <c r="AA37" s="186"/>
      <c r="AB37" s="422"/>
      <c r="AC37" s="241"/>
      <c r="AD37" s="467"/>
      <c r="AE37" s="92"/>
      <c r="AF37" s="624" t="s">
        <v>674</v>
      </c>
      <c r="AG37" s="626">
        <v>381000</v>
      </c>
      <c r="AH37" s="54" t="s">
        <v>677</v>
      </c>
      <c r="AI37" s="732"/>
      <c r="AJ37" s="835">
        <f>254000-254000</f>
        <v>0</v>
      </c>
      <c r="AK37" s="836"/>
      <c r="AL37" s="685"/>
      <c r="AM37" s="685"/>
      <c r="AN37" s="685"/>
      <c r="AO37" s="685"/>
      <c r="AP37" s="685"/>
      <c r="AQ37" s="685"/>
    </row>
    <row r="38" spans="1:43" s="8" customFormat="1" ht="15" x14ac:dyDescent="0.25">
      <c r="A38" s="186" t="s">
        <v>73</v>
      </c>
      <c r="B38" s="54"/>
      <c r="C38" s="36"/>
      <c r="D38" s="176"/>
      <c r="E38" s="74"/>
      <c r="F38" s="177"/>
      <c r="G38" s="178"/>
      <c r="H38" s="177"/>
      <c r="I38" s="178"/>
      <c r="J38" s="36"/>
      <c r="K38" s="24"/>
      <c r="L38" s="74"/>
      <c r="M38" s="74"/>
      <c r="N38" s="74"/>
      <c r="O38" s="74"/>
      <c r="P38" s="74"/>
      <c r="Q38" s="24"/>
      <c r="R38" s="181"/>
      <c r="S38" s="74"/>
      <c r="T38" s="9"/>
      <c r="U38" s="191"/>
      <c r="V38" s="191"/>
      <c r="W38" s="191"/>
      <c r="X38" s="241"/>
      <c r="Y38" s="241"/>
      <c r="Z38" s="241"/>
      <c r="AA38" s="186"/>
      <c r="AB38" s="422"/>
      <c r="AC38" s="241"/>
      <c r="AD38" s="467"/>
      <c r="AE38" s="92"/>
      <c r="AF38" s="624" t="s">
        <v>675</v>
      </c>
      <c r="AG38" s="626">
        <v>127000</v>
      </c>
      <c r="AH38" s="811" t="s">
        <v>779</v>
      </c>
      <c r="AI38" s="732">
        <v>400000</v>
      </c>
      <c r="AJ38" s="835"/>
      <c r="AK38" s="836">
        <v>1500000</v>
      </c>
      <c r="AL38" s="685"/>
      <c r="AM38" s="685"/>
      <c r="AN38" s="685"/>
      <c r="AO38" s="685"/>
      <c r="AP38" s="685"/>
      <c r="AQ38" s="685"/>
    </row>
    <row r="39" spans="1:43" s="8" customFormat="1" ht="15" x14ac:dyDescent="0.25">
      <c r="A39" s="186" t="s">
        <v>73</v>
      </c>
      <c r="B39" s="54"/>
      <c r="C39" s="36"/>
      <c r="D39" s="176"/>
      <c r="E39" s="74"/>
      <c r="F39" s="177"/>
      <c r="G39" s="178"/>
      <c r="H39" s="177"/>
      <c r="I39" s="178"/>
      <c r="J39" s="36"/>
      <c r="K39" s="24"/>
      <c r="L39" s="74"/>
      <c r="M39" s="74"/>
      <c r="N39" s="74"/>
      <c r="O39" s="74"/>
      <c r="P39" s="74"/>
      <c r="Q39" s="24"/>
      <c r="R39" s="181"/>
      <c r="S39" s="74"/>
      <c r="T39" s="9"/>
      <c r="U39" s="191"/>
      <c r="V39" s="191"/>
      <c r="W39" s="191"/>
      <c r="X39" s="241"/>
      <c r="Y39" s="241"/>
      <c r="Z39" s="241"/>
      <c r="AA39" s="186"/>
      <c r="AB39" s="422"/>
      <c r="AC39" s="241"/>
      <c r="AD39" s="467"/>
      <c r="AE39" s="92"/>
      <c r="AF39" s="54" t="s">
        <v>676</v>
      </c>
      <c r="AG39" s="626">
        <v>76200</v>
      </c>
      <c r="AH39" s="54" t="s">
        <v>738</v>
      </c>
      <c r="AI39" s="732"/>
      <c r="AJ39" s="835">
        <f>762000-662000</f>
        <v>100000</v>
      </c>
      <c r="AK39" s="836"/>
      <c r="AL39" s="685"/>
      <c r="AM39" s="685"/>
      <c r="AN39" s="685"/>
      <c r="AO39" s="685"/>
      <c r="AP39" s="685"/>
      <c r="AQ39" s="685"/>
    </row>
    <row r="40" spans="1:43" s="8" customFormat="1" ht="15" x14ac:dyDescent="0.25">
      <c r="A40" s="186" t="s">
        <v>73</v>
      </c>
      <c r="B40" s="54"/>
      <c r="C40" s="36"/>
      <c r="D40" s="176"/>
      <c r="E40" s="74"/>
      <c r="F40" s="177"/>
      <c r="G40" s="178"/>
      <c r="H40" s="177"/>
      <c r="I40" s="178"/>
      <c r="J40" s="36"/>
      <c r="K40" s="24"/>
      <c r="L40" s="74"/>
      <c r="M40" s="74"/>
      <c r="N40" s="74"/>
      <c r="O40" s="74"/>
      <c r="P40" s="74"/>
      <c r="Q40" s="24"/>
      <c r="R40" s="181"/>
      <c r="S40" s="74"/>
      <c r="T40" s="9"/>
      <c r="U40" s="191"/>
      <c r="V40" s="191"/>
      <c r="W40" s="191"/>
      <c r="X40" s="241"/>
      <c r="Y40" s="241"/>
      <c r="Z40" s="241"/>
      <c r="AA40" s="186"/>
      <c r="AB40" s="422"/>
      <c r="AC40" s="241"/>
      <c r="AD40" s="467"/>
      <c r="AE40" s="92"/>
      <c r="AF40" s="54" t="s">
        <v>677</v>
      </c>
      <c r="AG40" s="626">
        <v>127000</v>
      </c>
      <c r="AH40" s="54" t="s">
        <v>739</v>
      </c>
      <c r="AI40" s="732"/>
      <c r="AJ40" s="835">
        <f>1905000-1905000</f>
        <v>0</v>
      </c>
      <c r="AK40" s="836"/>
      <c r="AL40" s="685"/>
      <c r="AM40" s="685"/>
      <c r="AN40" s="685"/>
      <c r="AO40" s="685"/>
      <c r="AP40" s="685"/>
      <c r="AQ40" s="685"/>
    </row>
    <row r="41" spans="1:43" s="8" customFormat="1" ht="15" x14ac:dyDescent="0.25">
      <c r="A41" s="186" t="s">
        <v>73</v>
      </c>
      <c r="B41" s="54"/>
      <c r="C41" s="36"/>
      <c r="D41" s="176"/>
      <c r="E41" s="74"/>
      <c r="F41" s="177"/>
      <c r="G41" s="178"/>
      <c r="H41" s="177"/>
      <c r="I41" s="178"/>
      <c r="J41" s="36"/>
      <c r="K41" s="24"/>
      <c r="L41" s="74"/>
      <c r="M41" s="74"/>
      <c r="N41" s="74"/>
      <c r="O41" s="74"/>
      <c r="P41" s="74"/>
      <c r="Q41" s="24"/>
      <c r="R41" s="181"/>
      <c r="S41" s="74"/>
      <c r="T41" s="9"/>
      <c r="U41" s="191"/>
      <c r="V41" s="191"/>
      <c r="W41" s="191"/>
      <c r="X41" s="241"/>
      <c r="Y41" s="241"/>
      <c r="Z41" s="241"/>
      <c r="AA41" s="186"/>
      <c r="AB41" s="422"/>
      <c r="AC41" s="241"/>
      <c r="AD41" s="467"/>
      <c r="AE41" s="92"/>
      <c r="AF41" s="54" t="s">
        <v>678</v>
      </c>
      <c r="AG41" s="626"/>
      <c r="AH41" s="624" t="s">
        <v>752</v>
      </c>
      <c r="AI41" s="732"/>
      <c r="AJ41" s="835">
        <f>635000-335000</f>
        <v>300000</v>
      </c>
      <c r="AK41" s="836"/>
      <c r="AL41" s="685"/>
      <c r="AM41" s="685"/>
      <c r="AN41" s="685"/>
      <c r="AO41" s="685"/>
      <c r="AP41" s="685"/>
      <c r="AQ41" s="685"/>
    </row>
    <row r="42" spans="1:43" s="8" customFormat="1" ht="15" x14ac:dyDescent="0.25">
      <c r="A42" s="186" t="s">
        <v>73</v>
      </c>
      <c r="B42" s="54"/>
      <c r="C42" s="36"/>
      <c r="D42" s="176"/>
      <c r="E42" s="74"/>
      <c r="F42" s="177"/>
      <c r="G42" s="178"/>
      <c r="H42" s="177"/>
      <c r="I42" s="178"/>
      <c r="J42" s="36"/>
      <c r="K42" s="24"/>
      <c r="L42" s="74"/>
      <c r="M42" s="74"/>
      <c r="N42" s="74"/>
      <c r="O42" s="74"/>
      <c r="P42" s="74"/>
      <c r="Q42" s="24"/>
      <c r="R42" s="181"/>
      <c r="S42" s="74"/>
      <c r="T42" s="9"/>
      <c r="U42" s="191"/>
      <c r="V42" s="191"/>
      <c r="W42" s="191"/>
      <c r="X42" s="241"/>
      <c r="Y42" s="241"/>
      <c r="Z42" s="241"/>
      <c r="AA42" s="186"/>
      <c r="AB42" s="422"/>
      <c r="AC42" s="241"/>
      <c r="AD42" s="467"/>
      <c r="AE42" s="92"/>
      <c r="AF42" s="54" t="s">
        <v>679</v>
      </c>
      <c r="AG42" s="626">
        <v>254000</v>
      </c>
      <c r="AH42" s="811" t="s">
        <v>740</v>
      </c>
      <c r="AI42" s="732"/>
      <c r="AJ42" s="835">
        <f>1270000-670000</f>
        <v>600000</v>
      </c>
      <c r="AK42" s="836">
        <v>500000</v>
      </c>
      <c r="AL42" s="685"/>
      <c r="AM42" s="685"/>
      <c r="AN42" s="685"/>
      <c r="AO42" s="685"/>
      <c r="AP42" s="685"/>
      <c r="AQ42" s="685"/>
    </row>
    <row r="43" spans="1:43" s="8" customFormat="1" ht="15" x14ac:dyDescent="0.25">
      <c r="A43" s="186" t="s">
        <v>73</v>
      </c>
      <c r="B43" s="54"/>
      <c r="C43" s="36"/>
      <c r="D43" s="176"/>
      <c r="E43" s="74"/>
      <c r="F43" s="177"/>
      <c r="G43" s="178"/>
      <c r="H43" s="177"/>
      <c r="I43" s="178"/>
      <c r="J43" s="36"/>
      <c r="K43" s="24"/>
      <c r="L43" s="74"/>
      <c r="M43" s="74"/>
      <c r="N43" s="74"/>
      <c r="O43" s="74"/>
      <c r="P43" s="74"/>
      <c r="Q43" s="24"/>
      <c r="R43" s="181"/>
      <c r="S43" s="74"/>
      <c r="T43" s="9"/>
      <c r="U43" s="191"/>
      <c r="V43" s="191"/>
      <c r="W43" s="191"/>
      <c r="X43" s="241"/>
      <c r="Y43" s="241"/>
      <c r="Z43" s="241"/>
      <c r="AA43" s="186"/>
      <c r="AB43" s="422"/>
      <c r="AC43" s="241"/>
      <c r="AD43" s="467"/>
      <c r="AE43" s="92"/>
      <c r="AF43" s="54" t="s">
        <v>680</v>
      </c>
      <c r="AG43" s="626"/>
      <c r="AH43" s="54" t="s">
        <v>741</v>
      </c>
      <c r="AI43" s="732"/>
      <c r="AJ43" s="835">
        <f>635000-485000</f>
        <v>150000</v>
      </c>
      <c r="AK43" s="836"/>
      <c r="AL43" s="685"/>
      <c r="AM43" s="685"/>
      <c r="AN43" s="685"/>
      <c r="AO43" s="685"/>
      <c r="AP43" s="685"/>
      <c r="AQ43" s="685"/>
    </row>
    <row r="44" spans="1:43" s="8" customFormat="1" ht="15" x14ac:dyDescent="0.25">
      <c r="A44" s="186" t="s">
        <v>73</v>
      </c>
      <c r="B44" s="54"/>
      <c r="C44" s="36"/>
      <c r="D44" s="176"/>
      <c r="E44" s="74"/>
      <c r="F44" s="177"/>
      <c r="G44" s="178"/>
      <c r="H44" s="177"/>
      <c r="I44" s="178"/>
      <c r="J44" s="36"/>
      <c r="K44" s="24"/>
      <c r="L44" s="74"/>
      <c r="M44" s="74"/>
      <c r="N44" s="74"/>
      <c r="O44" s="74"/>
      <c r="P44" s="74"/>
      <c r="Q44" s="24"/>
      <c r="R44" s="181"/>
      <c r="S44" s="74"/>
      <c r="T44" s="9"/>
      <c r="U44" s="191"/>
      <c r="V44" s="191"/>
      <c r="W44" s="191"/>
      <c r="X44" s="241"/>
      <c r="Y44" s="241"/>
      <c r="Z44" s="241"/>
      <c r="AA44" s="186"/>
      <c r="AB44" s="422"/>
      <c r="AC44" s="241"/>
      <c r="AD44" s="467"/>
      <c r="AE44" s="92"/>
      <c r="AF44" s="624" t="s">
        <v>681</v>
      </c>
      <c r="AG44" s="626"/>
      <c r="AH44" s="812" t="s">
        <v>742</v>
      </c>
      <c r="AI44" s="732"/>
      <c r="AJ44" s="835">
        <f>381000-181000</f>
        <v>200000</v>
      </c>
      <c r="AK44" s="836">
        <v>500000</v>
      </c>
      <c r="AL44" s="685"/>
      <c r="AM44" s="685"/>
      <c r="AN44" s="685"/>
      <c r="AO44" s="685"/>
      <c r="AP44" s="685"/>
      <c r="AQ44" s="685"/>
    </row>
    <row r="45" spans="1:43" s="8" customFormat="1" ht="15" x14ac:dyDescent="0.25">
      <c r="A45" s="186" t="s">
        <v>73</v>
      </c>
      <c r="B45" s="54" t="s">
        <v>457</v>
      </c>
      <c r="C45" s="36"/>
      <c r="D45" s="176"/>
      <c r="E45" s="74"/>
      <c r="F45" s="177"/>
      <c r="G45" s="178"/>
      <c r="H45" s="177"/>
      <c r="I45" s="178"/>
      <c r="J45" s="36"/>
      <c r="K45" s="24"/>
      <c r="L45" s="74"/>
      <c r="M45" s="74"/>
      <c r="N45" s="74"/>
      <c r="O45" s="74"/>
      <c r="P45" s="74"/>
      <c r="Q45" s="24"/>
      <c r="R45" s="181">
        <f t="shared" ref="R45:R46" si="8">C45-S45</f>
        <v>0</v>
      </c>
      <c r="S45" s="74">
        <v>0</v>
      </c>
      <c r="T45" s="9"/>
      <c r="U45" s="191">
        <f>96000*1.27</f>
        <v>121920</v>
      </c>
      <c r="V45" s="191">
        <f>96000*1.27</f>
        <v>121920</v>
      </c>
      <c r="W45" s="191" t="s">
        <v>510</v>
      </c>
      <c r="X45" s="241">
        <v>120000</v>
      </c>
      <c r="Y45" s="241"/>
      <c r="Z45" s="241"/>
      <c r="AA45" s="186" t="s">
        <v>73</v>
      </c>
      <c r="AB45" s="422"/>
      <c r="AC45" s="241"/>
      <c r="AD45" s="467">
        <f t="shared" si="0"/>
        <v>0</v>
      </c>
      <c r="AE45" s="92"/>
      <c r="AF45" s="54" t="s">
        <v>682</v>
      </c>
      <c r="AG45" s="626"/>
      <c r="AH45" s="54" t="s">
        <v>751</v>
      </c>
      <c r="AI45" s="732"/>
      <c r="AJ45" s="835">
        <v>63500</v>
      </c>
      <c r="AK45" s="837"/>
      <c r="AL45" s="685"/>
      <c r="AM45" s="685"/>
      <c r="AN45" s="685"/>
      <c r="AO45" s="685"/>
      <c r="AP45" s="685"/>
      <c r="AQ45" s="685"/>
    </row>
    <row r="46" spans="1:43" s="8" customFormat="1" ht="15" x14ac:dyDescent="0.25">
      <c r="A46" s="186" t="s">
        <v>73</v>
      </c>
      <c r="B46" s="175" t="s">
        <v>474</v>
      </c>
      <c r="C46" s="36"/>
      <c r="D46" s="176"/>
      <c r="E46" s="74"/>
      <c r="F46" s="177"/>
      <c r="G46" s="178"/>
      <c r="H46" s="177"/>
      <c r="I46" s="178"/>
      <c r="J46" s="36"/>
      <c r="K46" s="24"/>
      <c r="L46" s="74"/>
      <c r="M46" s="74"/>
      <c r="N46" s="74"/>
      <c r="O46" s="74"/>
      <c r="P46" s="74"/>
      <c r="Q46" s="24"/>
      <c r="R46" s="181">
        <f t="shared" si="8"/>
        <v>0</v>
      </c>
      <c r="S46" s="74">
        <v>0</v>
      </c>
      <c r="T46" s="9"/>
      <c r="U46" s="74"/>
      <c r="V46" s="212">
        <v>44016</v>
      </c>
      <c r="W46" s="81" t="s">
        <v>511</v>
      </c>
      <c r="X46" s="241">
        <v>200000</v>
      </c>
      <c r="Y46" s="241">
        <v>200000</v>
      </c>
      <c r="Z46" s="241"/>
      <c r="AA46" s="186" t="s">
        <v>73</v>
      </c>
      <c r="AB46" s="422"/>
      <c r="AC46" s="241"/>
      <c r="AD46" s="467">
        <f t="shared" si="0"/>
        <v>0</v>
      </c>
      <c r="AE46" s="92"/>
      <c r="AF46" s="74" t="s">
        <v>696</v>
      </c>
      <c r="AG46" s="74">
        <v>152400</v>
      </c>
      <c r="AH46" s="547" t="s">
        <v>780</v>
      </c>
      <c r="AI46" s="732"/>
      <c r="AJ46" s="838"/>
      <c r="AK46" s="836">
        <v>300000</v>
      </c>
      <c r="AL46" s="685"/>
      <c r="AM46" s="685"/>
      <c r="AN46" s="685"/>
      <c r="AO46" s="685"/>
      <c r="AP46" s="685"/>
      <c r="AQ46" s="685"/>
    </row>
    <row r="47" spans="1:43" s="8" customFormat="1" ht="15" x14ac:dyDescent="0.25">
      <c r="A47" s="186" t="s">
        <v>73</v>
      </c>
      <c r="B47" s="175"/>
      <c r="C47" s="36"/>
      <c r="D47" s="176"/>
      <c r="E47" s="74"/>
      <c r="F47" s="177"/>
      <c r="G47" s="178"/>
      <c r="H47" s="177"/>
      <c r="I47" s="178"/>
      <c r="J47" s="36"/>
      <c r="K47" s="24"/>
      <c r="L47" s="74"/>
      <c r="M47" s="74"/>
      <c r="N47" s="74"/>
      <c r="O47" s="74"/>
      <c r="P47" s="74"/>
      <c r="Q47" s="24"/>
      <c r="R47" s="181"/>
      <c r="S47" s="74"/>
      <c r="T47" s="9"/>
      <c r="U47" s="74"/>
      <c r="V47" s="212"/>
      <c r="W47" s="81" t="s">
        <v>512</v>
      </c>
      <c r="X47" s="241">
        <v>180000</v>
      </c>
      <c r="Y47" s="241">
        <v>180000</v>
      </c>
      <c r="Z47" s="241"/>
      <c r="AA47" s="186" t="s">
        <v>73</v>
      </c>
      <c r="AB47" s="422"/>
      <c r="AC47" s="241"/>
      <c r="AD47" s="467">
        <f t="shared" si="0"/>
        <v>0</v>
      </c>
      <c r="AE47" s="92"/>
      <c r="AF47" s="92"/>
      <c r="AG47" s="92"/>
      <c r="AH47" s="92" t="s">
        <v>781</v>
      </c>
      <c r="AI47" s="732"/>
      <c r="AJ47" s="838"/>
      <c r="AK47" s="836">
        <v>2200000</v>
      </c>
      <c r="AL47" s="685"/>
      <c r="AM47" s="685"/>
      <c r="AN47" s="685"/>
      <c r="AO47" s="685"/>
      <c r="AP47" s="685"/>
      <c r="AQ47" s="685"/>
    </row>
    <row r="48" spans="1:43" s="107" customFormat="1" ht="15" x14ac:dyDescent="0.25">
      <c r="A48" s="306" t="s">
        <v>73</v>
      </c>
      <c r="B48" s="307"/>
      <c r="C48" s="308">
        <f>SUM(C28:C33)</f>
        <v>16327000</v>
      </c>
      <c r="D48" s="309"/>
      <c r="E48" s="308">
        <f t="shared" ref="E48:L48" si="9">SUM(E28:E33)</f>
        <v>12192000</v>
      </c>
      <c r="F48" s="308">
        <f t="shared" si="9"/>
        <v>1835000</v>
      </c>
      <c r="G48" s="308">
        <f t="shared" si="9"/>
        <v>14492000</v>
      </c>
      <c r="H48" s="308">
        <f t="shared" si="9"/>
        <v>1835000</v>
      </c>
      <c r="I48" s="308">
        <f t="shared" si="9"/>
        <v>14492000</v>
      </c>
      <c r="J48" s="308">
        <f t="shared" si="9"/>
        <v>16327000</v>
      </c>
      <c r="K48" s="308">
        <f t="shared" si="9"/>
        <v>0</v>
      </c>
      <c r="L48" s="308">
        <f t="shared" si="9"/>
        <v>0</v>
      </c>
      <c r="M48" s="308">
        <f>SUM(M17:M26)</f>
        <v>2399943</v>
      </c>
      <c r="N48" s="265">
        <f>SUM(N28:N33)</f>
        <v>16327000</v>
      </c>
      <c r="O48" s="265">
        <f>SUM(O17:O33)</f>
        <v>3309943</v>
      </c>
      <c r="P48" s="265">
        <f>SUM(P17:P33)</f>
        <v>16327000</v>
      </c>
      <c r="Q48" s="195"/>
      <c r="R48" s="310">
        <f>SUM(R28:R46)</f>
        <v>4135000</v>
      </c>
      <c r="S48" s="310">
        <f>SUM(S28:S46)</f>
        <v>12192000</v>
      </c>
      <c r="T48" s="310">
        <f>SUM(T28:T46)</f>
        <v>0</v>
      </c>
      <c r="U48" s="310">
        <f>SUM(U28:U46)</f>
        <v>4839672.76</v>
      </c>
      <c r="V48" s="251">
        <f>SUM(V28:V46)</f>
        <v>4883689.76</v>
      </c>
      <c r="W48" s="251"/>
      <c r="X48" s="265">
        <f>SUM(X28:X47)</f>
        <v>8200000</v>
      </c>
      <c r="Y48" s="265">
        <f>SUM(Y28:Y47)</f>
        <v>6380000</v>
      </c>
      <c r="Z48" s="265">
        <f>SUM(Z28:Z47)</f>
        <v>3450000</v>
      </c>
      <c r="AA48" s="306" t="s">
        <v>73</v>
      </c>
      <c r="AB48" s="251"/>
      <c r="AC48" s="265">
        <f>SUM(AC28:AC47)</f>
        <v>3700000</v>
      </c>
      <c r="AD48" s="265">
        <f>SUM(AD28:AD47)</f>
        <v>3700000</v>
      </c>
      <c r="AE48" s="265">
        <f>SUM(AE16:AE47)</f>
        <v>1125822</v>
      </c>
      <c r="AF48" s="265" t="s">
        <v>685</v>
      </c>
      <c r="AG48" s="265">
        <f>SUM(AG28:AG47)</f>
        <v>1939100</v>
      </c>
      <c r="AH48" s="265" t="s">
        <v>685</v>
      </c>
      <c r="AI48" s="691">
        <f>SUM(AI28:AI47)</f>
        <v>5800000</v>
      </c>
      <c r="AJ48" s="691">
        <f>SUM(AJ28:AJ47)</f>
        <v>8374890</v>
      </c>
      <c r="AK48" s="251">
        <f>SUM(AK28:AK47)</f>
        <v>9380000</v>
      </c>
      <c r="AL48" s="687"/>
      <c r="AM48" s="687"/>
      <c r="AN48" s="687"/>
      <c r="AO48" s="687"/>
      <c r="AP48" s="687"/>
      <c r="AQ48" s="687"/>
    </row>
    <row r="49" spans="1:42" ht="15" x14ac:dyDescent="0.25">
      <c r="A49" s="96"/>
      <c r="B49" s="97"/>
      <c r="C49" s="98"/>
      <c r="D49" s="143"/>
      <c r="E49" s="82"/>
      <c r="F49" s="115"/>
      <c r="G49" s="98"/>
      <c r="H49" s="115"/>
      <c r="I49" s="98"/>
      <c r="J49" s="47"/>
      <c r="K49" s="47"/>
      <c r="L49" s="82"/>
      <c r="M49" s="82"/>
      <c r="N49" s="82"/>
      <c r="O49" s="82"/>
      <c r="P49" s="47"/>
      <c r="Q49" s="47"/>
      <c r="R49" s="180"/>
      <c r="S49" s="82"/>
      <c r="T49" s="47"/>
      <c r="U49" s="82"/>
      <c r="V49" s="82"/>
      <c r="W49" s="82"/>
      <c r="Y49" s="239"/>
      <c r="Z49" s="239"/>
      <c r="AA49" s="96"/>
      <c r="AB49" s="471" t="s">
        <v>138</v>
      </c>
      <c r="AD49" s="467">
        <f t="shared" si="0"/>
        <v>0</v>
      </c>
      <c r="AE49" s="82"/>
      <c r="AF49" s="82"/>
      <c r="AG49" s="82"/>
      <c r="AH49" s="82"/>
      <c r="AI49" s="735"/>
      <c r="AJ49" s="792"/>
      <c r="AK49" s="814"/>
    </row>
    <row r="50" spans="1:42" ht="15" hidden="1" x14ac:dyDescent="0.25">
      <c r="A50" s="96" t="s">
        <v>138</v>
      </c>
      <c r="B50" s="96" t="s">
        <v>213</v>
      </c>
      <c r="C50" s="98">
        <v>3000000</v>
      </c>
      <c r="D50" s="143">
        <v>1</v>
      </c>
      <c r="E50" s="63"/>
      <c r="F50" s="115">
        <f t="shared" si="3"/>
        <v>1500000</v>
      </c>
      <c r="G50" s="23">
        <v>1500000</v>
      </c>
      <c r="H50" s="116"/>
      <c r="I50" s="23"/>
      <c r="J50" s="99">
        <f>F50+G50</f>
        <v>3000000</v>
      </c>
      <c r="K50" s="47"/>
      <c r="L50" s="82">
        <v>1455172</v>
      </c>
      <c r="M50" s="82">
        <v>1455172</v>
      </c>
      <c r="N50" s="82"/>
      <c r="O50" s="82">
        <v>1455172</v>
      </c>
      <c r="P50" s="47"/>
      <c r="Q50" s="47"/>
      <c r="R50" s="180"/>
      <c r="S50" s="82"/>
      <c r="T50" s="47"/>
      <c r="U50" s="82"/>
      <c r="V50" s="82"/>
      <c r="W50" s="82"/>
      <c r="Y50" s="239"/>
      <c r="Z50" s="239"/>
      <c r="AA50" s="96" t="s">
        <v>138</v>
      </c>
      <c r="AB50" s="435"/>
      <c r="AD50" s="467">
        <f t="shared" si="0"/>
        <v>0</v>
      </c>
      <c r="AE50" s="82"/>
      <c r="AF50" s="82"/>
      <c r="AG50" s="82"/>
      <c r="AH50" s="82"/>
      <c r="AI50" s="735"/>
      <c r="AJ50" s="792"/>
      <c r="AK50" s="814"/>
    </row>
    <row r="51" spans="1:42" ht="15" hidden="1" x14ac:dyDescent="0.25">
      <c r="A51" s="96" t="s">
        <v>138</v>
      </c>
      <c r="B51" s="96" t="s">
        <v>275</v>
      </c>
      <c r="C51" s="98">
        <v>800000</v>
      </c>
      <c r="D51" s="143">
        <v>1</v>
      </c>
      <c r="E51" s="82"/>
      <c r="F51" s="115">
        <f t="shared" si="3"/>
        <v>500000</v>
      </c>
      <c r="G51" s="23">
        <v>300000</v>
      </c>
      <c r="H51" s="116"/>
      <c r="I51" s="23"/>
      <c r="J51" s="99">
        <f t="shared" ref="J51:J63" si="10">F51+G51</f>
        <v>800000</v>
      </c>
      <c r="K51" s="47"/>
      <c r="L51" s="82"/>
      <c r="M51" s="82"/>
      <c r="N51" s="82"/>
      <c r="O51" s="82"/>
      <c r="P51" s="47"/>
      <c r="Q51" s="47"/>
      <c r="R51" s="180"/>
      <c r="S51" s="82"/>
      <c r="T51" s="47"/>
      <c r="U51" s="82"/>
      <c r="V51" s="82"/>
      <c r="W51" s="82"/>
      <c r="Y51" s="239"/>
      <c r="Z51" s="239"/>
      <c r="AA51" s="96" t="s">
        <v>138</v>
      </c>
      <c r="AB51" s="435"/>
      <c r="AD51" s="467">
        <f t="shared" si="0"/>
        <v>0</v>
      </c>
      <c r="AE51" s="82"/>
      <c r="AF51" s="82"/>
      <c r="AG51" s="82"/>
      <c r="AH51" s="82"/>
      <c r="AI51" s="735"/>
      <c r="AJ51" s="792"/>
      <c r="AK51" s="814"/>
    </row>
    <row r="52" spans="1:42" ht="15" hidden="1" x14ac:dyDescent="0.25">
      <c r="A52" s="96" t="s">
        <v>138</v>
      </c>
      <c r="B52" s="96" t="s">
        <v>276</v>
      </c>
      <c r="C52" s="98">
        <f>30000*15</f>
        <v>450000</v>
      </c>
      <c r="D52" s="143">
        <v>1</v>
      </c>
      <c r="E52" s="82"/>
      <c r="F52" s="115">
        <f t="shared" si="3"/>
        <v>450000</v>
      </c>
      <c r="G52" s="23"/>
      <c r="H52" s="116"/>
      <c r="I52" s="23"/>
      <c r="J52" s="99">
        <f t="shared" si="10"/>
        <v>450000</v>
      </c>
      <c r="K52" s="47"/>
      <c r="L52" s="82">
        <v>466841</v>
      </c>
      <c r="M52" s="82">
        <v>466841</v>
      </c>
      <c r="N52" s="82"/>
      <c r="O52" s="82">
        <v>466841</v>
      </c>
      <c r="P52" s="47"/>
      <c r="Q52" s="47"/>
      <c r="R52" s="180"/>
      <c r="S52" s="82"/>
      <c r="T52" s="47"/>
      <c r="U52" s="82"/>
      <c r="V52" s="82"/>
      <c r="W52" s="82"/>
      <c r="Y52" s="239"/>
      <c r="Z52" s="239"/>
      <c r="AA52" s="96" t="s">
        <v>138</v>
      </c>
      <c r="AB52" s="435"/>
      <c r="AD52" s="467">
        <f t="shared" si="0"/>
        <v>0</v>
      </c>
      <c r="AE52" s="82"/>
      <c r="AF52" s="82"/>
      <c r="AG52" s="82"/>
      <c r="AH52" s="82"/>
      <c r="AI52" s="735"/>
      <c r="AJ52" s="792"/>
      <c r="AK52" s="814"/>
    </row>
    <row r="53" spans="1:42" ht="15" hidden="1" x14ac:dyDescent="0.25">
      <c r="A53" s="96" t="s">
        <v>138</v>
      </c>
      <c r="B53" s="96" t="s">
        <v>385</v>
      </c>
      <c r="C53" s="98">
        <v>3000000</v>
      </c>
      <c r="D53" s="143">
        <v>2</v>
      </c>
      <c r="E53" s="82"/>
      <c r="F53" s="115">
        <f t="shared" si="3"/>
        <v>1000000</v>
      </c>
      <c r="G53" s="23">
        <v>2000000</v>
      </c>
      <c r="H53" s="116"/>
      <c r="I53" s="23"/>
      <c r="J53" s="99">
        <f t="shared" si="10"/>
        <v>3000000</v>
      </c>
      <c r="K53" s="47"/>
      <c r="L53" s="82"/>
      <c r="M53" s="82"/>
      <c r="N53" s="82"/>
      <c r="O53" s="82">
        <v>148000</v>
      </c>
      <c r="P53" s="47"/>
      <c r="Q53" s="47"/>
      <c r="R53" s="180"/>
      <c r="S53" s="82"/>
      <c r="T53" s="47"/>
      <c r="U53" s="82"/>
      <c r="V53" s="82"/>
      <c r="W53" s="82"/>
      <c r="Y53" s="239"/>
      <c r="Z53" s="239"/>
      <c r="AA53" s="96" t="s">
        <v>138</v>
      </c>
      <c r="AB53" s="435"/>
      <c r="AD53" s="467">
        <f t="shared" si="0"/>
        <v>0</v>
      </c>
      <c r="AE53" s="82"/>
      <c r="AF53" s="82"/>
      <c r="AG53" s="82"/>
      <c r="AH53" s="82"/>
      <c r="AI53" s="735"/>
      <c r="AJ53" s="792"/>
      <c r="AK53" s="814"/>
    </row>
    <row r="54" spans="1:42" ht="15" hidden="1" x14ac:dyDescent="0.25">
      <c r="A54" s="96" t="s">
        <v>138</v>
      </c>
      <c r="B54" s="54" t="s">
        <v>384</v>
      </c>
      <c r="C54" s="98">
        <v>50000</v>
      </c>
      <c r="D54" s="143">
        <v>1</v>
      </c>
      <c r="E54" s="82"/>
      <c r="F54" s="115">
        <f t="shared" si="3"/>
        <v>50000</v>
      </c>
      <c r="G54" s="23"/>
      <c r="H54" s="116"/>
      <c r="I54" s="23"/>
      <c r="J54" s="99">
        <f t="shared" si="10"/>
        <v>50000</v>
      </c>
      <c r="K54" s="47"/>
      <c r="L54" s="82"/>
      <c r="M54" s="82"/>
      <c r="N54" s="82"/>
      <c r="O54" s="82">
        <v>210200</v>
      </c>
      <c r="P54" s="47"/>
      <c r="Q54" s="47"/>
      <c r="R54" s="180"/>
      <c r="S54" s="82"/>
      <c r="T54" s="47"/>
      <c r="U54" s="82"/>
      <c r="V54" s="82"/>
      <c r="W54" s="82"/>
      <c r="Y54" s="239"/>
      <c r="Z54" s="239"/>
      <c r="AA54" s="96" t="s">
        <v>138</v>
      </c>
      <c r="AB54" s="435"/>
      <c r="AD54" s="467">
        <f t="shared" si="0"/>
        <v>0</v>
      </c>
      <c r="AE54" s="82"/>
      <c r="AF54" s="82"/>
      <c r="AG54" s="82"/>
      <c r="AH54" s="82"/>
      <c r="AI54" s="735"/>
      <c r="AJ54" s="792"/>
      <c r="AK54" s="814"/>
    </row>
    <row r="55" spans="1:42" ht="15" hidden="1" x14ac:dyDescent="0.25">
      <c r="A55" s="96" t="s">
        <v>138</v>
      </c>
      <c r="B55" s="96" t="s">
        <v>277</v>
      </c>
      <c r="C55" s="98">
        <v>1500000</v>
      </c>
      <c r="D55" s="144">
        <v>1</v>
      </c>
      <c r="E55" s="82"/>
      <c r="F55" s="115">
        <f t="shared" si="3"/>
        <v>1500000</v>
      </c>
      <c r="G55" s="23"/>
      <c r="H55" s="116"/>
      <c r="I55" s="23"/>
      <c r="J55" s="99">
        <f t="shared" si="10"/>
        <v>1500000</v>
      </c>
      <c r="K55" s="47"/>
      <c r="L55" s="82"/>
      <c r="M55" s="82"/>
      <c r="N55" s="82"/>
      <c r="O55" s="82"/>
      <c r="P55" s="47"/>
      <c r="Q55" s="47"/>
      <c r="R55" s="180"/>
      <c r="S55" s="82"/>
      <c r="T55" s="47"/>
      <c r="U55" s="82"/>
      <c r="V55" s="82"/>
      <c r="W55" s="82"/>
      <c r="Y55" s="239"/>
      <c r="Z55" s="239"/>
      <c r="AA55" s="96" t="s">
        <v>138</v>
      </c>
      <c r="AB55" s="435"/>
      <c r="AD55" s="467">
        <f t="shared" si="0"/>
        <v>0</v>
      </c>
      <c r="AE55" s="82"/>
      <c r="AF55" s="82"/>
      <c r="AG55" s="82"/>
      <c r="AH55" s="82"/>
      <c r="AI55" s="735"/>
      <c r="AJ55" s="792"/>
      <c r="AK55" s="814"/>
    </row>
    <row r="56" spans="1:42" ht="15" hidden="1" x14ac:dyDescent="0.25">
      <c r="A56" s="96" t="s">
        <v>138</v>
      </c>
      <c r="B56" s="54" t="s">
        <v>338</v>
      </c>
      <c r="C56" s="98"/>
      <c r="D56" s="144"/>
      <c r="E56" s="82"/>
      <c r="F56" s="115"/>
      <c r="G56" s="23"/>
      <c r="H56" s="116"/>
      <c r="I56" s="23"/>
      <c r="J56" s="99"/>
      <c r="K56" s="47"/>
      <c r="L56" s="82">
        <v>144132</v>
      </c>
      <c r="M56" s="82">
        <v>144132</v>
      </c>
      <c r="N56" s="82"/>
      <c r="O56" s="82">
        <v>144132</v>
      </c>
      <c r="P56" s="47"/>
      <c r="Q56" s="47"/>
      <c r="R56" s="180"/>
      <c r="S56" s="82"/>
      <c r="T56" s="47"/>
      <c r="U56" s="82"/>
      <c r="V56" s="82"/>
      <c r="W56" s="82"/>
      <c r="Y56" s="239"/>
      <c r="Z56" s="239"/>
      <c r="AA56" s="96" t="s">
        <v>138</v>
      </c>
      <c r="AB56" s="435"/>
      <c r="AD56" s="467">
        <f t="shared" si="0"/>
        <v>0</v>
      </c>
      <c r="AE56" s="82"/>
      <c r="AF56" s="82"/>
      <c r="AG56" s="82"/>
      <c r="AH56" s="82"/>
      <c r="AI56" s="735"/>
      <c r="AJ56" s="792"/>
      <c r="AK56" s="814"/>
    </row>
    <row r="57" spans="1:42" ht="15" hidden="1" x14ac:dyDescent="0.25">
      <c r="A57" s="96" t="s">
        <v>138</v>
      </c>
      <c r="B57" s="96" t="s">
        <v>288</v>
      </c>
      <c r="C57" s="98">
        <v>250000</v>
      </c>
      <c r="D57" s="144">
        <v>1</v>
      </c>
      <c r="E57" s="82"/>
      <c r="F57" s="115">
        <f t="shared" si="3"/>
        <v>250000</v>
      </c>
      <c r="G57" s="23"/>
      <c r="H57" s="116"/>
      <c r="I57" s="23"/>
      <c r="J57" s="99">
        <f t="shared" si="10"/>
        <v>250000</v>
      </c>
      <c r="K57" s="47"/>
      <c r="L57" s="82">
        <v>205527</v>
      </c>
      <c r="M57" s="82">
        <v>205527</v>
      </c>
      <c r="N57" s="82"/>
      <c r="O57" s="82">
        <v>205527</v>
      </c>
      <c r="P57" s="47"/>
      <c r="Q57" s="47"/>
      <c r="R57" s="180"/>
      <c r="S57" s="82"/>
      <c r="T57" s="47"/>
      <c r="U57" s="82"/>
      <c r="V57" s="82"/>
      <c r="W57" s="82"/>
      <c r="Y57" s="239"/>
      <c r="Z57" s="239"/>
      <c r="AA57" s="96" t="s">
        <v>138</v>
      </c>
      <c r="AB57" s="435"/>
      <c r="AD57" s="467">
        <f t="shared" si="0"/>
        <v>0</v>
      </c>
      <c r="AE57" s="82"/>
      <c r="AF57" s="82"/>
      <c r="AG57" s="82"/>
      <c r="AH57" s="82"/>
      <c r="AI57" s="735"/>
      <c r="AJ57" s="792"/>
      <c r="AK57" s="814"/>
    </row>
    <row r="58" spans="1:42" ht="15" x14ac:dyDescent="0.25">
      <c r="A58" s="186" t="s">
        <v>138</v>
      </c>
      <c r="B58" s="96" t="s">
        <v>344</v>
      </c>
      <c r="C58" s="178">
        <f>2315206+440000</f>
        <v>2755206</v>
      </c>
      <c r="D58" s="144">
        <v>1</v>
      </c>
      <c r="E58" s="74"/>
      <c r="F58" s="177">
        <f t="shared" si="3"/>
        <v>0</v>
      </c>
      <c r="G58" s="22">
        <v>2755206</v>
      </c>
      <c r="H58" s="184">
        <f>C58-I58</f>
        <v>2400000</v>
      </c>
      <c r="I58" s="22">
        <v>355206</v>
      </c>
      <c r="J58" s="36">
        <f t="shared" si="10"/>
        <v>2755206</v>
      </c>
      <c r="K58" s="24"/>
      <c r="L58" s="74"/>
      <c r="M58" s="74"/>
      <c r="N58" s="74">
        <f>F58</f>
        <v>0</v>
      </c>
      <c r="O58" s="74"/>
      <c r="P58" s="36">
        <f t="shared" ref="P58:P63" si="11">N58+O58</f>
        <v>0</v>
      </c>
      <c r="Q58" s="24"/>
      <c r="R58" s="181">
        <f>C58-S58</f>
        <v>0</v>
      </c>
      <c r="S58" s="74">
        <v>2755206</v>
      </c>
      <c r="T58" s="24"/>
      <c r="U58" s="74"/>
      <c r="V58" s="74">
        <v>0</v>
      </c>
      <c r="W58" s="96" t="s">
        <v>344</v>
      </c>
      <c r="X58" s="241">
        <v>2783930</v>
      </c>
      <c r="Y58" s="241">
        <v>2783930</v>
      </c>
      <c r="Z58" s="241">
        <v>2783930</v>
      </c>
      <c r="AA58" s="186" t="s">
        <v>138</v>
      </c>
      <c r="AB58" s="96" t="s">
        <v>344</v>
      </c>
      <c r="AC58" s="241">
        <v>2783930</v>
      </c>
      <c r="AD58" s="467">
        <f t="shared" si="0"/>
        <v>2783930</v>
      </c>
      <c r="AE58" s="81"/>
      <c r="AF58" s="81"/>
      <c r="AG58" s="81"/>
      <c r="AH58" s="81" t="s">
        <v>713</v>
      </c>
      <c r="AI58" s="735">
        <v>1500000</v>
      </c>
      <c r="AJ58" s="839">
        <f>1500000/2</f>
        <v>750000</v>
      </c>
      <c r="AK58" s="840">
        <v>800000</v>
      </c>
      <c r="AP58" s="742"/>
    </row>
    <row r="59" spans="1:42" ht="15" x14ac:dyDescent="0.25">
      <c r="A59" s="186" t="s">
        <v>138</v>
      </c>
      <c r="B59" s="96" t="s">
        <v>356</v>
      </c>
      <c r="C59" s="178">
        <v>1313783</v>
      </c>
      <c r="D59" s="144">
        <v>1</v>
      </c>
      <c r="E59" s="74"/>
      <c r="F59" s="177">
        <f t="shared" si="3"/>
        <v>1313783</v>
      </c>
      <c r="G59" s="22"/>
      <c r="H59" s="184">
        <f t="shared" ref="H59:H63" si="12">C59-I59</f>
        <v>1313783</v>
      </c>
      <c r="I59" s="22"/>
      <c r="J59" s="36">
        <f t="shared" si="10"/>
        <v>1313783</v>
      </c>
      <c r="K59" s="24"/>
      <c r="L59" s="74"/>
      <c r="M59" s="74"/>
      <c r="N59" s="74">
        <v>1313783</v>
      </c>
      <c r="O59" s="74"/>
      <c r="P59" s="36">
        <f t="shared" si="11"/>
        <v>1313783</v>
      </c>
      <c r="Q59" s="24"/>
      <c r="R59" s="181">
        <f t="shared" ref="R59:R66" si="13">C59-S59</f>
        <v>1313783</v>
      </c>
      <c r="S59" s="74"/>
      <c r="T59" s="24"/>
      <c r="U59" s="74"/>
      <c r="V59" s="74"/>
      <c r="W59" s="96" t="s">
        <v>356</v>
      </c>
      <c r="X59" s="239">
        <v>1500000</v>
      </c>
      <c r="Y59" s="239">
        <v>1500000</v>
      </c>
      <c r="Z59" s="239"/>
      <c r="AA59" s="186" t="s">
        <v>138</v>
      </c>
      <c r="AB59" s="96" t="s">
        <v>356</v>
      </c>
      <c r="AC59" s="239">
        <v>1500000</v>
      </c>
      <c r="AD59" s="467">
        <f t="shared" si="0"/>
        <v>1500000</v>
      </c>
      <c r="AE59" s="81"/>
      <c r="AF59" s="81"/>
      <c r="AG59" s="81"/>
      <c r="AH59" s="81" t="s">
        <v>714</v>
      </c>
      <c r="AI59" s="735">
        <v>1000000</v>
      </c>
      <c r="AJ59" s="839">
        <v>2000000</v>
      </c>
      <c r="AK59" s="840">
        <v>2000000</v>
      </c>
    </row>
    <row r="60" spans="1:42" ht="15" x14ac:dyDescent="0.25">
      <c r="A60" s="186" t="s">
        <v>138</v>
      </c>
      <c r="B60" s="96" t="s">
        <v>345</v>
      </c>
      <c r="C60" s="178">
        <v>3669919</v>
      </c>
      <c r="D60" s="144">
        <v>2</v>
      </c>
      <c r="E60" s="74">
        <v>3669919</v>
      </c>
      <c r="F60" s="177">
        <f t="shared" si="3"/>
        <v>0</v>
      </c>
      <c r="G60" s="22">
        <v>3669919</v>
      </c>
      <c r="H60" s="184">
        <f t="shared" si="12"/>
        <v>0</v>
      </c>
      <c r="I60" s="22">
        <v>3669919</v>
      </c>
      <c r="J60" s="36">
        <f t="shared" si="10"/>
        <v>3669919</v>
      </c>
      <c r="K60" s="24"/>
      <c r="L60" s="74"/>
      <c r="M60" s="74"/>
      <c r="N60" s="74">
        <f t="shared" ref="N60:N63" si="14">F60</f>
        <v>0</v>
      </c>
      <c r="O60" s="74"/>
      <c r="P60" s="36">
        <f t="shared" si="11"/>
        <v>0</v>
      </c>
      <c r="Q60" s="24"/>
      <c r="R60" s="181">
        <f t="shared" si="13"/>
        <v>0</v>
      </c>
      <c r="S60" s="74">
        <v>3669919</v>
      </c>
      <c r="T60" s="24"/>
      <c r="U60" s="74"/>
      <c r="V60" s="74">
        <v>0</v>
      </c>
      <c r="W60" s="96" t="s">
        <v>345</v>
      </c>
      <c r="X60" s="241">
        <v>4425000</v>
      </c>
      <c r="Y60" s="241">
        <v>0</v>
      </c>
      <c r="Z60" s="241">
        <v>0</v>
      </c>
      <c r="AA60" s="186" t="s">
        <v>138</v>
      </c>
      <c r="AB60" s="96" t="s">
        <v>345</v>
      </c>
      <c r="AC60" s="241">
        <v>4425000</v>
      </c>
      <c r="AD60" s="467">
        <f t="shared" si="0"/>
        <v>4425000</v>
      </c>
      <c r="AE60" s="81"/>
      <c r="AF60" s="81"/>
      <c r="AG60" s="81"/>
      <c r="AH60" s="81"/>
      <c r="AI60" s="735">
        <v>500000</v>
      </c>
      <c r="AJ60" s="839"/>
      <c r="AK60" s="840"/>
    </row>
    <row r="61" spans="1:42" ht="15" x14ac:dyDescent="0.25">
      <c r="A61" s="186" t="s">
        <v>138</v>
      </c>
      <c r="B61" s="96" t="s">
        <v>357</v>
      </c>
      <c r="C61" s="178">
        <v>343500</v>
      </c>
      <c r="D61" s="144">
        <v>1</v>
      </c>
      <c r="E61" s="74"/>
      <c r="F61" s="177">
        <f t="shared" si="3"/>
        <v>343500</v>
      </c>
      <c r="G61" s="22"/>
      <c r="H61" s="184">
        <f t="shared" si="12"/>
        <v>343500</v>
      </c>
      <c r="I61" s="22"/>
      <c r="J61" s="36">
        <f t="shared" si="10"/>
        <v>343500</v>
      </c>
      <c r="K61" s="24"/>
      <c r="L61" s="74"/>
      <c r="M61" s="74"/>
      <c r="N61" s="74">
        <f t="shared" si="14"/>
        <v>343500</v>
      </c>
      <c r="O61" s="74"/>
      <c r="P61" s="36">
        <f t="shared" si="11"/>
        <v>343500</v>
      </c>
      <c r="Q61" s="24"/>
      <c r="R61" s="181">
        <f t="shared" si="13"/>
        <v>343500</v>
      </c>
      <c r="S61" s="74"/>
      <c r="T61" s="24"/>
      <c r="U61" s="74">
        <v>330600</v>
      </c>
      <c r="V61" s="74">
        <v>330601</v>
      </c>
      <c r="W61" s="74"/>
      <c r="Y61" s="239"/>
      <c r="Z61" s="239"/>
      <c r="AA61" s="186" t="s">
        <v>138</v>
      </c>
      <c r="AB61" s="421" t="s">
        <v>624</v>
      </c>
      <c r="AD61" s="467">
        <f t="shared" si="0"/>
        <v>0</v>
      </c>
      <c r="AE61" s="82"/>
      <c r="AF61" s="82"/>
      <c r="AG61" s="82"/>
      <c r="AH61" s="74"/>
      <c r="AI61" s="735">
        <v>100000</v>
      </c>
      <c r="AJ61" s="839"/>
      <c r="AK61" s="840"/>
    </row>
    <row r="62" spans="1:42" ht="15" x14ac:dyDescent="0.25">
      <c r="A62" s="186" t="s">
        <v>138</v>
      </c>
      <c r="B62" s="96" t="s">
        <v>375</v>
      </c>
      <c r="C62" s="178">
        <v>175000</v>
      </c>
      <c r="D62" s="144">
        <v>1</v>
      </c>
      <c r="E62" s="74"/>
      <c r="F62" s="177">
        <f t="shared" si="3"/>
        <v>175000</v>
      </c>
      <c r="G62" s="22"/>
      <c r="H62" s="184">
        <f t="shared" si="12"/>
        <v>175000</v>
      </c>
      <c r="I62" s="22"/>
      <c r="J62" s="36">
        <f t="shared" si="10"/>
        <v>175000</v>
      </c>
      <c r="K62" s="24"/>
      <c r="L62" s="74"/>
      <c r="M62" s="74"/>
      <c r="N62" s="74"/>
      <c r="O62" s="74"/>
      <c r="P62" s="36">
        <v>175000</v>
      </c>
      <c r="Q62" s="24"/>
      <c r="R62" s="181">
        <f t="shared" si="13"/>
        <v>175000</v>
      </c>
      <c r="S62" s="74"/>
      <c r="T62" s="24"/>
      <c r="U62" s="74">
        <f>84745</f>
        <v>84745</v>
      </c>
      <c r="V62" s="74">
        <f>84745</f>
        <v>84745</v>
      </c>
      <c r="W62" s="74"/>
      <c r="Y62" s="239"/>
      <c r="Z62" s="239"/>
      <c r="AA62" s="186" t="s">
        <v>138</v>
      </c>
      <c r="AB62" s="421" t="s">
        <v>649</v>
      </c>
      <c r="AD62" s="467">
        <f t="shared" si="0"/>
        <v>0</v>
      </c>
      <c r="AE62" s="82">
        <v>353133</v>
      </c>
      <c r="AF62" s="82"/>
      <c r="AG62" s="82"/>
      <c r="AH62" s="74" t="s">
        <v>736</v>
      </c>
      <c r="AI62" s="735"/>
      <c r="AJ62" s="839">
        <v>2000000</v>
      </c>
      <c r="AK62" s="840">
        <v>2000000</v>
      </c>
    </row>
    <row r="63" spans="1:42" ht="15" x14ac:dyDescent="0.25">
      <c r="A63" s="186" t="s">
        <v>138</v>
      </c>
      <c r="B63" s="96" t="s">
        <v>349</v>
      </c>
      <c r="C63" s="178">
        <v>35560</v>
      </c>
      <c r="D63" s="144">
        <v>1</v>
      </c>
      <c r="E63" s="74"/>
      <c r="F63" s="177">
        <f t="shared" si="3"/>
        <v>35560</v>
      </c>
      <c r="G63" s="22"/>
      <c r="H63" s="184">
        <f t="shared" si="12"/>
        <v>35560</v>
      </c>
      <c r="I63" s="22"/>
      <c r="J63" s="36">
        <f t="shared" si="10"/>
        <v>35560</v>
      </c>
      <c r="K63" s="24"/>
      <c r="L63" s="74"/>
      <c r="M63" s="74"/>
      <c r="N63" s="74">
        <f t="shared" si="14"/>
        <v>35560</v>
      </c>
      <c r="O63" s="74"/>
      <c r="P63" s="36">
        <f t="shared" si="11"/>
        <v>35560</v>
      </c>
      <c r="Q63" s="24"/>
      <c r="R63" s="181">
        <f t="shared" si="13"/>
        <v>35560</v>
      </c>
      <c r="S63" s="74"/>
      <c r="T63" s="24"/>
      <c r="U63" s="74">
        <f>28000*1.27</f>
        <v>35560</v>
      </c>
      <c r="V63" s="74">
        <f>28000*1.27</f>
        <v>35560</v>
      </c>
      <c r="W63" s="74"/>
      <c r="Y63" s="239"/>
      <c r="Z63" s="239"/>
      <c r="AA63" s="186" t="s">
        <v>138</v>
      </c>
      <c r="AB63" s="421"/>
      <c r="AD63" s="467">
        <f t="shared" si="0"/>
        <v>0</v>
      </c>
      <c r="AE63" s="82"/>
      <c r="AF63" s="82"/>
      <c r="AG63" s="82"/>
      <c r="AH63" s="82"/>
      <c r="AI63" s="735"/>
      <c r="AJ63" s="839"/>
      <c r="AK63" s="840"/>
    </row>
    <row r="64" spans="1:42" ht="15" x14ac:dyDescent="0.25">
      <c r="A64" s="186" t="s">
        <v>138</v>
      </c>
      <c r="B64" s="96" t="s">
        <v>459</v>
      </c>
      <c r="C64" s="178"/>
      <c r="D64" s="144"/>
      <c r="E64" s="74"/>
      <c r="F64" s="177"/>
      <c r="G64" s="22"/>
      <c r="H64" s="184"/>
      <c r="I64" s="22"/>
      <c r="J64" s="36"/>
      <c r="K64" s="24"/>
      <c r="L64" s="74"/>
      <c r="M64" s="74"/>
      <c r="N64" s="74"/>
      <c r="O64" s="74"/>
      <c r="P64" s="36"/>
      <c r="Q64" s="24"/>
      <c r="R64" s="181">
        <f t="shared" si="13"/>
        <v>0</v>
      </c>
      <c r="S64" s="74"/>
      <c r="T64" s="24"/>
      <c r="U64" s="74">
        <f>721050*1.27</f>
        <v>915733.5</v>
      </c>
      <c r="V64" s="74">
        <f>721050*1.27</f>
        <v>915733.5</v>
      </c>
      <c r="W64" s="74"/>
      <c r="Y64" s="239"/>
      <c r="Z64" s="239"/>
      <c r="AA64" s="186" t="s">
        <v>138</v>
      </c>
      <c r="AB64" s="421"/>
      <c r="AD64" s="467">
        <f t="shared" si="0"/>
        <v>0</v>
      </c>
      <c r="AE64" s="82"/>
      <c r="AF64" s="82"/>
      <c r="AG64" s="82"/>
      <c r="AH64" s="82"/>
      <c r="AI64" s="735"/>
      <c r="AJ64" s="839"/>
      <c r="AK64" s="840"/>
    </row>
    <row r="65" spans="1:43" ht="15" x14ac:dyDescent="0.25">
      <c r="A65" s="186" t="s">
        <v>138</v>
      </c>
      <c r="B65" s="96" t="s">
        <v>475</v>
      </c>
      <c r="C65" s="178"/>
      <c r="D65" s="144"/>
      <c r="E65" s="74"/>
      <c r="F65" s="177"/>
      <c r="G65" s="22"/>
      <c r="H65" s="184"/>
      <c r="I65" s="22"/>
      <c r="J65" s="36"/>
      <c r="K65" s="24"/>
      <c r="L65" s="74"/>
      <c r="M65" s="74"/>
      <c r="N65" s="74"/>
      <c r="O65" s="74"/>
      <c r="P65" s="36"/>
      <c r="Q65" s="24"/>
      <c r="R65" s="181"/>
      <c r="S65" s="74"/>
      <c r="T65" s="24"/>
      <c r="U65" s="74"/>
      <c r="V65" s="74">
        <v>16383</v>
      </c>
      <c r="W65" s="74"/>
      <c r="Y65" s="239"/>
      <c r="Z65" s="239"/>
      <c r="AA65" s="186" t="s">
        <v>138</v>
      </c>
      <c r="AB65" s="421"/>
      <c r="AD65" s="467">
        <f t="shared" si="0"/>
        <v>0</v>
      </c>
      <c r="AE65" s="82"/>
      <c r="AF65" s="82"/>
      <c r="AG65" s="82"/>
      <c r="AH65" s="82"/>
      <c r="AI65" s="735"/>
      <c r="AJ65" s="839"/>
      <c r="AK65" s="840"/>
    </row>
    <row r="66" spans="1:43" ht="15" x14ac:dyDescent="0.25">
      <c r="A66" s="186" t="s">
        <v>138</v>
      </c>
      <c r="B66" s="96" t="s">
        <v>460</v>
      </c>
      <c r="C66" s="178"/>
      <c r="D66" s="144"/>
      <c r="E66" s="74"/>
      <c r="F66" s="177"/>
      <c r="G66" s="22"/>
      <c r="H66" s="184"/>
      <c r="I66" s="22"/>
      <c r="J66" s="36"/>
      <c r="K66" s="24"/>
      <c r="L66" s="74"/>
      <c r="M66" s="74"/>
      <c r="N66" s="74"/>
      <c r="O66" s="74"/>
      <c r="P66" s="36"/>
      <c r="Q66" s="24"/>
      <c r="R66" s="181">
        <f t="shared" si="13"/>
        <v>0</v>
      </c>
      <c r="S66" s="74"/>
      <c r="T66" s="24"/>
      <c r="U66" s="74">
        <v>334980</v>
      </c>
      <c r="V66" s="74">
        <v>334980</v>
      </c>
      <c r="W66" s="74"/>
      <c r="Y66" s="239"/>
      <c r="Z66" s="239"/>
      <c r="AA66" s="186" t="s">
        <v>138</v>
      </c>
      <c r="AB66" s="421"/>
      <c r="AD66" s="467">
        <f t="shared" si="0"/>
        <v>0</v>
      </c>
      <c r="AE66" s="82"/>
      <c r="AF66" s="82"/>
      <c r="AG66" s="82"/>
      <c r="AH66" s="82"/>
      <c r="AI66" s="735"/>
      <c r="AJ66" s="839"/>
      <c r="AK66" s="840"/>
    </row>
    <row r="67" spans="1:43" s="107" customFormat="1" ht="15" x14ac:dyDescent="0.25">
      <c r="A67" s="306" t="s">
        <v>138</v>
      </c>
      <c r="B67" s="306"/>
      <c r="C67" s="308">
        <f>SUM(C58:C63)</f>
        <v>8292968</v>
      </c>
      <c r="D67" s="309"/>
      <c r="E67" s="308">
        <f t="shared" ref="E67:P67" si="15">SUM(E58:E63)</f>
        <v>3669919</v>
      </c>
      <c r="F67" s="308">
        <f t="shared" si="15"/>
        <v>1867843</v>
      </c>
      <c r="G67" s="308">
        <f t="shared" si="15"/>
        <v>6425125</v>
      </c>
      <c r="H67" s="308">
        <f t="shared" si="15"/>
        <v>4267843</v>
      </c>
      <c r="I67" s="308">
        <f t="shared" si="15"/>
        <v>4025125</v>
      </c>
      <c r="J67" s="308">
        <f t="shared" si="15"/>
        <v>8292968</v>
      </c>
      <c r="K67" s="308">
        <f t="shared" si="15"/>
        <v>0</v>
      </c>
      <c r="L67" s="308">
        <f t="shared" si="15"/>
        <v>0</v>
      </c>
      <c r="M67" s="308">
        <f t="shared" si="15"/>
        <v>0</v>
      </c>
      <c r="N67" s="308">
        <f t="shared" si="15"/>
        <v>1692843</v>
      </c>
      <c r="O67" s="308">
        <f t="shared" si="15"/>
        <v>0</v>
      </c>
      <c r="P67" s="308">
        <f t="shared" si="15"/>
        <v>1867843</v>
      </c>
      <c r="Q67" s="195"/>
      <c r="R67" s="182">
        <f>SUM(R58:R66)</f>
        <v>1867843</v>
      </c>
      <c r="S67" s="182">
        <f>SUM(S58:S66)</f>
        <v>6425125</v>
      </c>
      <c r="T67" s="182">
        <f>SUM(T58:T66)</f>
        <v>0</v>
      </c>
      <c r="U67" s="182">
        <f>SUM(U58:U66)-U62</f>
        <v>1616873.5</v>
      </c>
      <c r="V67" s="251">
        <f>SUM(V58:V66)</f>
        <v>1718002.5</v>
      </c>
      <c r="W67" s="251"/>
      <c r="X67" s="251">
        <f>SUM(X58:X66)</f>
        <v>8708930</v>
      </c>
      <c r="Y67" s="251">
        <f>SUM(Y58:Y66)</f>
        <v>4283930</v>
      </c>
      <c r="Z67" s="251">
        <f>SUM(Z58:Z66)</f>
        <v>2783930</v>
      </c>
      <c r="AA67" s="306" t="s">
        <v>138</v>
      </c>
      <c r="AB67" s="251"/>
      <c r="AC67" s="251">
        <f>SUM(AC58:AC66)</f>
        <v>8708930</v>
      </c>
      <c r="AD67" s="470">
        <f>AC67</f>
        <v>8708930</v>
      </c>
      <c r="AE67" s="539">
        <f>SUM(AE58:AE66)</f>
        <v>353133</v>
      </c>
      <c r="AF67" s="539" t="s">
        <v>686</v>
      </c>
      <c r="AG67" s="539">
        <f>SUM(AG58:AG66)</f>
        <v>0</v>
      </c>
      <c r="AH67" s="539" t="s">
        <v>686</v>
      </c>
      <c r="AI67" s="691">
        <f>SUM(AI58:AI66)</f>
        <v>3100000</v>
      </c>
      <c r="AJ67" s="691">
        <f>SUM(AJ58:AJ66)</f>
        <v>4750000</v>
      </c>
      <c r="AK67" s="251">
        <f>SUM(AK58:AK66)</f>
        <v>4800000</v>
      </c>
      <c r="AL67" s="687"/>
      <c r="AM67" s="687"/>
      <c r="AN67" s="687"/>
      <c r="AO67" s="687"/>
      <c r="AP67" s="687"/>
      <c r="AQ67" s="687"/>
    </row>
    <row r="68" spans="1:43" ht="15" x14ac:dyDescent="0.25">
      <c r="A68" s="96"/>
      <c r="B68" s="96"/>
      <c r="C68" s="98"/>
      <c r="D68" s="144"/>
      <c r="E68" s="82"/>
      <c r="F68" s="115"/>
      <c r="G68" s="23"/>
      <c r="H68" s="116"/>
      <c r="I68" s="23"/>
      <c r="J68" s="47"/>
      <c r="K68" s="47"/>
      <c r="L68" s="82"/>
      <c r="M68" s="82"/>
      <c r="N68" s="82"/>
      <c r="O68" s="82"/>
      <c r="P68" s="47"/>
      <c r="Q68" s="47"/>
      <c r="R68" s="180"/>
      <c r="S68" s="82"/>
      <c r="T68" s="47"/>
      <c r="U68" s="82"/>
      <c r="V68" s="252"/>
      <c r="W68" s="252"/>
      <c r="Y68" s="239"/>
      <c r="Z68" s="239"/>
      <c r="AA68" s="96"/>
      <c r="AB68" s="471" t="s">
        <v>66</v>
      </c>
      <c r="AD68" s="467">
        <f t="shared" si="0"/>
        <v>0</v>
      </c>
      <c r="AE68" s="82"/>
      <c r="AF68" s="82"/>
      <c r="AG68" s="82"/>
      <c r="AH68" s="82"/>
      <c r="AI68" s="735"/>
      <c r="AJ68" s="792"/>
      <c r="AK68" s="814"/>
      <c r="AL68" s="742"/>
      <c r="AM68" s="742"/>
    </row>
    <row r="69" spans="1:43" hidden="1" x14ac:dyDescent="0.2">
      <c r="A69" s="47" t="s">
        <v>66</v>
      </c>
      <c r="B69" s="311" t="s">
        <v>278</v>
      </c>
      <c r="C69" s="23">
        <v>1000000</v>
      </c>
      <c r="D69" s="145">
        <v>1</v>
      </c>
      <c r="E69" s="82"/>
      <c r="F69" s="115">
        <f t="shared" si="3"/>
        <v>650000</v>
      </c>
      <c r="G69" s="23">
        <v>350000</v>
      </c>
      <c r="H69" s="116"/>
      <c r="I69" s="23"/>
      <c r="J69" s="99">
        <f t="shared" ref="J69:J70" si="16">F69+G69</f>
        <v>1000000</v>
      </c>
      <c r="K69" s="47"/>
      <c r="L69" s="82"/>
      <c r="M69" s="82"/>
      <c r="N69" s="82"/>
      <c r="O69" s="82"/>
      <c r="P69" s="47"/>
      <c r="Q69" s="47"/>
      <c r="R69" s="180"/>
      <c r="S69" s="82"/>
      <c r="T69" s="47"/>
      <c r="U69" s="82"/>
      <c r="V69" s="252"/>
      <c r="W69" s="252"/>
      <c r="Y69" s="239"/>
      <c r="Z69" s="239"/>
      <c r="AA69" s="47" t="s">
        <v>66</v>
      </c>
      <c r="AB69" s="252"/>
      <c r="AD69" s="467">
        <f t="shared" si="0"/>
        <v>0</v>
      </c>
      <c r="AE69" s="82"/>
      <c r="AF69" s="82"/>
      <c r="AG69" s="82"/>
      <c r="AH69" s="82"/>
      <c r="AI69" s="735"/>
      <c r="AJ69" s="792"/>
      <c r="AK69" s="814"/>
    </row>
    <row r="70" spans="1:43" hidden="1" x14ac:dyDescent="0.2">
      <c r="A70" s="47" t="s">
        <v>66</v>
      </c>
      <c r="B70" s="311" t="s">
        <v>386</v>
      </c>
      <c r="C70" s="23">
        <v>500000</v>
      </c>
      <c r="D70" s="145">
        <v>1</v>
      </c>
      <c r="E70" s="82"/>
      <c r="F70" s="115">
        <f t="shared" si="3"/>
        <v>300000</v>
      </c>
      <c r="G70" s="23">
        <v>200000</v>
      </c>
      <c r="H70" s="116"/>
      <c r="I70" s="23"/>
      <c r="J70" s="99">
        <f t="shared" si="16"/>
        <v>500000</v>
      </c>
      <c r="K70" s="24" t="s">
        <v>314</v>
      </c>
      <c r="L70" s="82"/>
      <c r="M70" s="82"/>
      <c r="N70" s="82"/>
      <c r="O70" s="82">
        <v>1260000</v>
      </c>
      <c r="P70" s="47"/>
      <c r="Q70" s="47"/>
      <c r="R70" s="180"/>
      <c r="S70" s="82"/>
      <c r="T70" s="47"/>
      <c r="U70" s="82"/>
      <c r="V70" s="252"/>
      <c r="W70" s="252"/>
      <c r="Y70" s="239"/>
      <c r="Z70" s="239"/>
      <c r="AA70" s="47" t="s">
        <v>66</v>
      </c>
      <c r="AB70" s="252"/>
      <c r="AD70" s="467">
        <f t="shared" si="0"/>
        <v>0</v>
      </c>
      <c r="AE70" s="82"/>
      <c r="AF70" s="82"/>
      <c r="AG70" s="82"/>
      <c r="AH70" s="82"/>
      <c r="AI70" s="735"/>
      <c r="AJ70" s="792"/>
      <c r="AK70" s="814"/>
    </row>
    <row r="71" spans="1:43" ht="15" x14ac:dyDescent="0.25">
      <c r="A71" s="24" t="s">
        <v>66</v>
      </c>
      <c r="B71" s="54" t="s">
        <v>339</v>
      </c>
      <c r="C71" s="23"/>
      <c r="D71" s="145"/>
      <c r="E71" s="82"/>
      <c r="F71" s="115"/>
      <c r="G71" s="23"/>
      <c r="H71" s="116"/>
      <c r="I71" s="23"/>
      <c r="J71" s="99"/>
      <c r="K71" s="24"/>
      <c r="L71" s="82">
        <v>1184593</v>
      </c>
      <c r="M71" s="82">
        <v>1184593</v>
      </c>
      <c r="N71" s="82"/>
      <c r="O71" s="82">
        <v>1184593</v>
      </c>
      <c r="P71" s="47"/>
      <c r="Q71" s="47"/>
      <c r="R71" s="180"/>
      <c r="S71" s="82"/>
      <c r="T71" s="47"/>
      <c r="U71" s="82">
        <f>137244*1.27</f>
        <v>174299.88</v>
      </c>
      <c r="V71" s="82">
        <f>137244*1.27</f>
        <v>174299.88</v>
      </c>
      <c r="W71" s="82"/>
      <c r="Y71" s="239"/>
      <c r="Z71" s="239"/>
      <c r="AA71" s="24" t="s">
        <v>66</v>
      </c>
      <c r="AB71" s="421" t="s">
        <v>651</v>
      </c>
      <c r="AD71" s="467">
        <f t="shared" si="0"/>
        <v>0</v>
      </c>
      <c r="AE71" s="82">
        <v>64643</v>
      </c>
      <c r="AF71" s="74" t="s">
        <v>783</v>
      </c>
      <c r="AG71" s="82">
        <v>2500000</v>
      </c>
      <c r="AH71" s="765" t="s">
        <v>761</v>
      </c>
      <c r="AI71" s="766">
        <v>500000</v>
      </c>
      <c r="AJ71" s="841">
        <f>1905000/3</f>
        <v>635000</v>
      </c>
      <c r="AK71" s="842"/>
      <c r="AN71" s="742"/>
    </row>
    <row r="72" spans="1:43" ht="15" hidden="1" x14ac:dyDescent="0.25">
      <c r="A72" s="24" t="s">
        <v>66</v>
      </c>
      <c r="B72" s="54" t="s">
        <v>340</v>
      </c>
      <c r="C72" s="23"/>
      <c r="D72" s="145"/>
      <c r="E72" s="82"/>
      <c r="F72" s="115"/>
      <c r="G72" s="23"/>
      <c r="H72" s="116"/>
      <c r="I72" s="23"/>
      <c r="J72" s="99"/>
      <c r="K72" s="24"/>
      <c r="L72" s="82">
        <v>45000</v>
      </c>
      <c r="M72" s="82">
        <v>45000</v>
      </c>
      <c r="N72" s="82"/>
      <c r="O72" s="82">
        <v>45000</v>
      </c>
      <c r="P72" s="47"/>
      <c r="Q72" s="47"/>
      <c r="R72" s="180"/>
      <c r="S72" s="82"/>
      <c r="T72" s="47"/>
      <c r="U72" s="82"/>
      <c r="V72" s="252"/>
      <c r="W72" s="252"/>
      <c r="Y72" s="239"/>
      <c r="Z72" s="239"/>
      <c r="AA72" s="24" t="s">
        <v>66</v>
      </c>
      <c r="AB72" s="252"/>
      <c r="AD72" s="467">
        <f t="shared" si="0"/>
        <v>0</v>
      </c>
      <c r="AE72" s="82"/>
      <c r="AF72" s="82"/>
      <c r="AG72" s="82"/>
      <c r="AH72" s="82"/>
      <c r="AI72" s="735"/>
      <c r="AJ72" s="841"/>
      <c r="AK72" s="843"/>
    </row>
    <row r="73" spans="1:43" ht="15" hidden="1" x14ac:dyDescent="0.25">
      <c r="A73" s="24" t="s">
        <v>66</v>
      </c>
      <c r="B73" s="54" t="s">
        <v>387</v>
      </c>
      <c r="C73" s="23"/>
      <c r="D73" s="145"/>
      <c r="E73" s="82"/>
      <c r="F73" s="115"/>
      <c r="G73" s="23"/>
      <c r="H73" s="116"/>
      <c r="I73" s="23"/>
      <c r="J73" s="99"/>
      <c r="K73" s="24"/>
      <c r="L73" s="82"/>
      <c r="M73" s="82"/>
      <c r="N73" s="82"/>
      <c r="O73" s="82">
        <v>225260</v>
      </c>
      <c r="P73" s="47"/>
      <c r="Q73" s="47"/>
      <c r="R73" s="180"/>
      <c r="S73" s="82"/>
      <c r="T73" s="47"/>
      <c r="U73" s="82"/>
      <c r="V73" s="252"/>
      <c r="W73" s="252"/>
      <c r="Y73" s="239"/>
      <c r="Z73" s="239"/>
      <c r="AA73" s="24" t="s">
        <v>66</v>
      </c>
      <c r="AB73" s="252"/>
      <c r="AD73" s="467">
        <f t="shared" si="0"/>
        <v>0</v>
      </c>
      <c r="AE73" s="82"/>
      <c r="AF73" s="82"/>
      <c r="AG73" s="82"/>
      <c r="AH73" s="82"/>
      <c r="AI73" s="735"/>
      <c r="AJ73" s="841"/>
      <c r="AK73" s="843"/>
    </row>
    <row r="74" spans="1:43" ht="15" x14ac:dyDescent="0.25">
      <c r="A74" s="185" t="s">
        <v>66</v>
      </c>
      <c r="B74" s="54" t="s">
        <v>424</v>
      </c>
      <c r="C74" s="23">
        <v>1000000</v>
      </c>
      <c r="D74" s="145">
        <v>1</v>
      </c>
      <c r="E74" s="82"/>
      <c r="F74" s="115">
        <f>C74-G74</f>
        <v>0</v>
      </c>
      <c r="G74" s="23">
        <v>1000000</v>
      </c>
      <c r="H74" s="116">
        <f>C74-I74</f>
        <v>1000000</v>
      </c>
      <c r="I74" s="23"/>
      <c r="J74" s="99"/>
      <c r="K74" s="24"/>
      <c r="L74" s="82"/>
      <c r="M74" s="82"/>
      <c r="N74" s="82"/>
      <c r="O74" s="82"/>
      <c r="P74" s="47"/>
      <c r="Q74" s="47"/>
      <c r="R74" s="180">
        <f>C74-S74</f>
        <v>1000000</v>
      </c>
      <c r="S74" s="82">
        <v>0</v>
      </c>
      <c r="T74" s="47"/>
      <c r="U74" s="82"/>
      <c r="V74" s="252"/>
      <c r="W74" s="252"/>
      <c r="Y74" s="239"/>
      <c r="Z74" s="239"/>
      <c r="AA74" s="185" t="s">
        <v>66</v>
      </c>
      <c r="AB74" s="252"/>
      <c r="AD74" s="467">
        <f t="shared" si="0"/>
        <v>0</v>
      </c>
      <c r="AE74" s="82"/>
      <c r="AF74" s="74"/>
      <c r="AG74" s="82"/>
      <c r="AH74" s="74" t="s">
        <v>762</v>
      </c>
      <c r="AI74" s="735">
        <v>1300000</v>
      </c>
      <c r="AJ74" s="841">
        <v>2200000</v>
      </c>
      <c r="AK74" s="842">
        <v>1200000</v>
      </c>
      <c r="AN74" s="742"/>
    </row>
    <row r="75" spans="1:43" ht="15" x14ac:dyDescent="0.25">
      <c r="A75" s="185" t="s">
        <v>66</v>
      </c>
      <c r="B75" s="341" t="s">
        <v>461</v>
      </c>
      <c r="C75" s="23"/>
      <c r="D75" s="145"/>
      <c r="E75" s="82"/>
      <c r="F75" s="115"/>
      <c r="G75" s="23"/>
      <c r="H75" s="116"/>
      <c r="I75" s="23"/>
      <c r="J75" s="99"/>
      <c r="K75" s="24"/>
      <c r="L75" s="82"/>
      <c r="M75" s="82"/>
      <c r="N75" s="82"/>
      <c r="O75" s="82"/>
      <c r="P75" s="47"/>
      <c r="Q75" s="47"/>
      <c r="R75" s="180">
        <f t="shared" ref="R75:R76" si="17">C75-S75</f>
        <v>0</v>
      </c>
      <c r="S75" s="82">
        <v>0</v>
      </c>
      <c r="T75" s="47"/>
      <c r="U75" s="82"/>
      <c r="V75" s="252">
        <v>86480</v>
      </c>
      <c r="W75" s="252"/>
      <c r="Y75" s="239"/>
      <c r="Z75" s="239"/>
      <c r="AA75" s="185" t="s">
        <v>66</v>
      </c>
      <c r="AB75" s="252"/>
      <c r="AD75" s="467">
        <f t="shared" si="0"/>
        <v>0</v>
      </c>
      <c r="AE75" s="82"/>
      <c r="AF75" s="82"/>
      <c r="AG75" s="82"/>
      <c r="AH75" s="74" t="s">
        <v>711</v>
      </c>
      <c r="AI75" s="735">
        <v>200000</v>
      </c>
      <c r="AJ75" s="841">
        <v>200000</v>
      </c>
      <c r="AK75" s="842"/>
    </row>
    <row r="76" spans="1:43" ht="15" x14ac:dyDescent="0.25">
      <c r="A76" s="185" t="s">
        <v>66</v>
      </c>
      <c r="B76" s="193" t="s">
        <v>462</v>
      </c>
      <c r="C76" s="23"/>
      <c r="D76" s="145"/>
      <c r="E76" s="82"/>
      <c r="F76" s="115"/>
      <c r="G76" s="23"/>
      <c r="H76" s="116"/>
      <c r="I76" s="23"/>
      <c r="J76" s="99"/>
      <c r="K76" s="24"/>
      <c r="L76" s="82"/>
      <c r="M76" s="82"/>
      <c r="N76" s="82"/>
      <c r="O76" s="82"/>
      <c r="P76" s="47"/>
      <c r="Q76" s="47"/>
      <c r="R76" s="180">
        <f t="shared" si="17"/>
        <v>0</v>
      </c>
      <c r="S76" s="82"/>
      <c r="T76" s="47"/>
      <c r="U76" s="82"/>
      <c r="V76" s="252"/>
      <c r="W76" s="343" t="s">
        <v>462</v>
      </c>
      <c r="Y76" s="239"/>
      <c r="Z76" s="342"/>
      <c r="AA76" s="185" t="s">
        <v>66</v>
      </c>
      <c r="AB76" s="252"/>
      <c r="AD76" s="467">
        <f t="shared" si="0"/>
        <v>0</v>
      </c>
      <c r="AE76" s="82"/>
      <c r="AF76" s="82"/>
      <c r="AG76" s="82"/>
      <c r="AH76" s="74" t="s">
        <v>731</v>
      </c>
      <c r="AI76" s="735">
        <v>1200000</v>
      </c>
      <c r="AJ76" s="841">
        <v>1200000</v>
      </c>
      <c r="AK76" s="842">
        <v>2000000</v>
      </c>
    </row>
    <row r="77" spans="1:43" s="107" customFormat="1" x14ac:dyDescent="0.2">
      <c r="A77" s="195" t="s">
        <v>66</v>
      </c>
      <c r="B77" s="312"/>
      <c r="C77" s="265">
        <f>SUM(C74:C76)</f>
        <v>1000000</v>
      </c>
      <c r="D77" s="313"/>
      <c r="E77" s="265">
        <f>SUM(E69:E70)</f>
        <v>0</v>
      </c>
      <c r="F77" s="265">
        <f>F74</f>
        <v>0</v>
      </c>
      <c r="G77" s="265"/>
      <c r="H77" s="265">
        <f>SUM(H74)</f>
        <v>1000000</v>
      </c>
      <c r="I77" s="265"/>
      <c r="J77" s="265">
        <f>SUM(J69:J70)</f>
        <v>1500000</v>
      </c>
      <c r="K77" s="265">
        <f>SUM(K69:K70)</f>
        <v>0</v>
      </c>
      <c r="L77" s="265">
        <f>SUM(L69:L72)</f>
        <v>1229593</v>
      </c>
      <c r="M77" s="265">
        <f>SUM(M69:M72)</f>
        <v>1229593</v>
      </c>
      <c r="N77" s="265"/>
      <c r="O77" s="265"/>
      <c r="P77" s="195"/>
      <c r="Q77" s="195"/>
      <c r="R77" s="182">
        <f>SUM(R74:R76)</f>
        <v>1000000</v>
      </c>
      <c r="S77" s="182">
        <f>SUM(S74:S76)</f>
        <v>0</v>
      </c>
      <c r="T77" s="182">
        <f t="shared" ref="T77" si="18">SUM(T74:T76)</f>
        <v>0</v>
      </c>
      <c r="U77" s="182">
        <f>SUM(U71:U76)</f>
        <v>174299.88</v>
      </c>
      <c r="V77" s="251">
        <f>V71+V74+V75+V76</f>
        <v>260779.88</v>
      </c>
      <c r="W77" s="251"/>
      <c r="X77" s="265">
        <v>0</v>
      </c>
      <c r="Y77" s="265">
        <v>0</v>
      </c>
      <c r="Z77" s="265">
        <f>SUM(Z71:Z76)</f>
        <v>0</v>
      </c>
      <c r="AA77" s="195" t="s">
        <v>66</v>
      </c>
      <c r="AB77" s="251"/>
      <c r="AC77" s="265">
        <v>0</v>
      </c>
      <c r="AD77" s="470">
        <f t="shared" si="0"/>
        <v>0</v>
      </c>
      <c r="AE77" s="265">
        <f>SUM(AE71:AE76)</f>
        <v>64643</v>
      </c>
      <c r="AF77" s="265" t="s">
        <v>710</v>
      </c>
      <c r="AG77" s="265">
        <f>SUM(AG71:AG76)</f>
        <v>2500000</v>
      </c>
      <c r="AH77" s="265" t="s">
        <v>710</v>
      </c>
      <c r="AI77" s="691">
        <f>SUM(AI71:AI76)</f>
        <v>3200000</v>
      </c>
      <c r="AJ77" s="691">
        <f>SUM(AJ71:AJ76)</f>
        <v>4235000</v>
      </c>
      <c r="AK77" s="251">
        <f>SUM(AK71:AK76)</f>
        <v>3200000</v>
      </c>
      <c r="AL77" s="687"/>
      <c r="AM77" s="687"/>
      <c r="AN77" s="687"/>
      <c r="AO77" s="687"/>
      <c r="AP77" s="687"/>
      <c r="AQ77" s="687"/>
    </row>
    <row r="78" spans="1:43" ht="21.75" customHeight="1" x14ac:dyDescent="0.2">
      <c r="A78" s="47"/>
      <c r="B78" s="311"/>
      <c r="C78" s="23"/>
      <c r="D78" s="145"/>
      <c r="E78" s="82"/>
      <c r="F78" s="115"/>
      <c r="G78" s="23"/>
      <c r="H78" s="116"/>
      <c r="I78" s="23"/>
      <c r="J78" s="47"/>
      <c r="K78" s="47"/>
      <c r="L78" s="82"/>
      <c r="M78" s="82"/>
      <c r="N78" s="82"/>
      <c r="O78" s="82"/>
      <c r="P78" s="47"/>
      <c r="Q78" s="47"/>
      <c r="R78" s="180"/>
      <c r="S78" s="82"/>
      <c r="T78" s="47"/>
      <c r="U78" s="82"/>
      <c r="V78" s="252"/>
      <c r="W78" s="252"/>
      <c r="AA78" s="47"/>
      <c r="AB78" s="471" t="s">
        <v>219</v>
      </c>
      <c r="AD78" s="467">
        <f t="shared" si="0"/>
        <v>0</v>
      </c>
      <c r="AE78" s="82"/>
      <c r="AF78" s="471" t="s">
        <v>219</v>
      </c>
      <c r="AG78" s="82"/>
      <c r="AH78" s="471" t="s">
        <v>219</v>
      </c>
      <c r="AI78" s="735"/>
      <c r="AJ78" s="792"/>
      <c r="AK78" s="814"/>
    </row>
    <row r="79" spans="1:43" ht="15" hidden="1" x14ac:dyDescent="0.25">
      <c r="A79" s="47" t="s">
        <v>219</v>
      </c>
      <c r="B79" s="96" t="s">
        <v>214</v>
      </c>
      <c r="C79" s="63">
        <v>90000000</v>
      </c>
      <c r="D79" s="145">
        <v>1</v>
      </c>
      <c r="E79" s="82"/>
      <c r="F79" s="115">
        <f t="shared" si="3"/>
        <v>60000000</v>
      </c>
      <c r="G79" s="23">
        <v>30000000</v>
      </c>
      <c r="H79" s="116"/>
      <c r="I79" s="23"/>
      <c r="J79" s="99">
        <f t="shared" ref="J79:J103" si="19">F79+G79</f>
        <v>90000000</v>
      </c>
      <c r="K79" s="47"/>
      <c r="L79" s="82">
        <v>4445477</v>
      </c>
      <c r="M79" s="82">
        <f>L79+228600</f>
        <v>4674077</v>
      </c>
      <c r="N79" s="82"/>
      <c r="O79" s="82">
        <v>4674077</v>
      </c>
      <c r="P79" s="47"/>
      <c r="Q79" s="99"/>
      <c r="R79" s="180"/>
      <c r="S79" s="82">
        <v>0</v>
      </c>
      <c r="T79" s="47"/>
      <c r="U79" s="82"/>
      <c r="V79" s="252"/>
      <c r="W79" s="252"/>
      <c r="AA79" s="47" t="s">
        <v>219</v>
      </c>
      <c r="AB79" s="252"/>
      <c r="AD79" s="467">
        <f t="shared" si="0"/>
        <v>0</v>
      </c>
      <c r="AE79" s="82"/>
      <c r="AF79" s="82"/>
      <c r="AG79" s="82"/>
      <c r="AH79" s="82"/>
      <c r="AI79" s="735"/>
      <c r="AJ79" s="792"/>
      <c r="AK79" s="814"/>
    </row>
    <row r="80" spans="1:43" ht="15" hidden="1" x14ac:dyDescent="0.25">
      <c r="A80" s="47" t="s">
        <v>219</v>
      </c>
      <c r="B80" s="96" t="s">
        <v>270</v>
      </c>
      <c r="C80" s="63">
        <v>15000000</v>
      </c>
      <c r="D80" s="145">
        <v>2</v>
      </c>
      <c r="E80" s="82"/>
      <c r="F80" s="115">
        <f t="shared" si="3"/>
        <v>0</v>
      </c>
      <c r="G80" s="23">
        <v>15000000</v>
      </c>
      <c r="H80" s="116"/>
      <c r="I80" s="23"/>
      <c r="J80" s="99">
        <f t="shared" si="19"/>
        <v>15000000</v>
      </c>
      <c r="K80" s="24" t="s">
        <v>315</v>
      </c>
      <c r="L80" s="82"/>
      <c r="M80" s="82">
        <f t="shared" ref="M80:M105" si="20">L80</f>
        <v>0</v>
      </c>
      <c r="N80" s="82"/>
      <c r="O80" s="82">
        <v>0</v>
      </c>
      <c r="P80" s="47"/>
      <c r="Q80" s="99"/>
      <c r="R80" s="180"/>
      <c r="S80" s="82"/>
      <c r="T80" s="47"/>
      <c r="U80" s="82"/>
      <c r="V80" s="252"/>
      <c r="W80" s="252"/>
      <c r="AA80" s="47" t="s">
        <v>219</v>
      </c>
      <c r="AB80" s="252"/>
      <c r="AD80" s="467">
        <f t="shared" si="0"/>
        <v>0</v>
      </c>
      <c r="AE80" s="82"/>
      <c r="AF80" s="82"/>
      <c r="AG80" s="82"/>
      <c r="AH80" s="82"/>
      <c r="AI80" s="735"/>
      <c r="AJ80" s="792"/>
      <c r="AK80" s="814"/>
    </row>
    <row r="81" spans="1:37" ht="15" hidden="1" x14ac:dyDescent="0.25">
      <c r="A81" s="47" t="s">
        <v>219</v>
      </c>
      <c r="B81" s="96" t="s">
        <v>268</v>
      </c>
      <c r="C81" s="63">
        <v>7000000</v>
      </c>
      <c r="D81" s="145">
        <v>2</v>
      </c>
      <c r="E81" s="82"/>
      <c r="F81" s="115">
        <f t="shared" si="3"/>
        <v>0</v>
      </c>
      <c r="G81" s="23">
        <v>7000000</v>
      </c>
      <c r="H81" s="116"/>
      <c r="I81" s="23"/>
      <c r="J81" s="99">
        <f t="shared" si="19"/>
        <v>7000000</v>
      </c>
      <c r="K81" s="24" t="s">
        <v>315</v>
      </c>
      <c r="L81" s="82"/>
      <c r="M81" s="82">
        <f t="shared" si="20"/>
        <v>0</v>
      </c>
      <c r="N81" s="82"/>
      <c r="O81" s="82">
        <v>0</v>
      </c>
      <c r="P81" s="47"/>
      <c r="Q81" s="99"/>
      <c r="R81" s="180"/>
      <c r="S81" s="82"/>
      <c r="T81" s="47"/>
      <c r="U81" s="82"/>
      <c r="V81" s="252"/>
      <c r="W81" s="252"/>
      <c r="AA81" s="47" t="s">
        <v>219</v>
      </c>
      <c r="AB81" s="252"/>
      <c r="AD81" s="467">
        <f t="shared" si="0"/>
        <v>0</v>
      </c>
      <c r="AE81" s="82"/>
      <c r="AF81" s="82"/>
      <c r="AG81" s="82"/>
      <c r="AH81" s="82"/>
      <c r="AI81" s="735"/>
      <c r="AJ81" s="792"/>
      <c r="AK81" s="814"/>
    </row>
    <row r="82" spans="1:37" ht="15" hidden="1" x14ac:dyDescent="0.25">
      <c r="A82" s="47" t="s">
        <v>219</v>
      </c>
      <c r="B82" s="96" t="s">
        <v>269</v>
      </c>
      <c r="C82" s="63">
        <v>15000000</v>
      </c>
      <c r="D82" s="145">
        <v>3</v>
      </c>
      <c r="E82" s="82"/>
      <c r="F82" s="115">
        <f t="shared" si="3"/>
        <v>0</v>
      </c>
      <c r="G82" s="23">
        <v>15000000</v>
      </c>
      <c r="H82" s="116"/>
      <c r="I82" s="23"/>
      <c r="J82" s="99">
        <f t="shared" si="19"/>
        <v>15000000</v>
      </c>
      <c r="K82" s="24" t="s">
        <v>315</v>
      </c>
      <c r="L82" s="82"/>
      <c r="M82" s="82">
        <f t="shared" si="20"/>
        <v>0</v>
      </c>
      <c r="N82" s="82">
        <v>0</v>
      </c>
      <c r="O82" s="82">
        <v>0</v>
      </c>
      <c r="P82" s="47"/>
      <c r="Q82" s="99"/>
      <c r="R82" s="180"/>
      <c r="S82" s="82"/>
      <c r="T82" s="47"/>
      <c r="U82" s="82"/>
      <c r="V82" s="252"/>
      <c r="W82" s="252"/>
      <c r="AA82" s="47" t="s">
        <v>219</v>
      </c>
      <c r="AB82" s="252"/>
      <c r="AD82" s="467">
        <f t="shared" si="0"/>
        <v>0</v>
      </c>
      <c r="AE82" s="82"/>
      <c r="AF82" s="82"/>
      <c r="AG82" s="82"/>
      <c r="AH82" s="82"/>
      <c r="AI82" s="735"/>
      <c r="AJ82" s="792"/>
      <c r="AK82" s="814"/>
    </row>
    <row r="83" spans="1:37" ht="15" hidden="1" x14ac:dyDescent="0.25">
      <c r="A83" s="47" t="s">
        <v>219</v>
      </c>
      <c r="B83" s="96" t="s">
        <v>318</v>
      </c>
      <c r="C83" s="63">
        <v>7000000</v>
      </c>
      <c r="D83" s="145">
        <v>2</v>
      </c>
      <c r="E83" s="82"/>
      <c r="F83" s="115">
        <f t="shared" si="3"/>
        <v>2000000</v>
      </c>
      <c r="G83" s="23">
        <v>5000000</v>
      </c>
      <c r="H83" s="116"/>
      <c r="I83" s="23"/>
      <c r="J83" s="99">
        <f t="shared" si="19"/>
        <v>7000000</v>
      </c>
      <c r="K83" s="47" t="s">
        <v>290</v>
      </c>
      <c r="L83" s="82"/>
      <c r="M83" s="82">
        <f t="shared" si="20"/>
        <v>0</v>
      </c>
      <c r="N83" s="82"/>
      <c r="O83" s="82">
        <v>0</v>
      </c>
      <c r="P83" s="47"/>
      <c r="Q83" s="99"/>
      <c r="R83" s="180"/>
      <c r="S83" s="82"/>
      <c r="T83" s="47"/>
      <c r="U83" s="82"/>
      <c r="V83" s="252"/>
      <c r="W83" s="252"/>
      <c r="AA83" s="47" t="s">
        <v>219</v>
      </c>
      <c r="AB83" s="252"/>
      <c r="AD83" s="467">
        <f t="shared" si="0"/>
        <v>0</v>
      </c>
      <c r="AE83" s="82"/>
      <c r="AF83" s="82"/>
      <c r="AG83" s="82"/>
      <c r="AH83" s="82"/>
      <c r="AI83" s="735"/>
      <c r="AJ83" s="792"/>
      <c r="AK83" s="814"/>
    </row>
    <row r="84" spans="1:37" ht="15" hidden="1" x14ac:dyDescent="0.25">
      <c r="A84" s="47" t="s">
        <v>219</v>
      </c>
      <c r="B84" s="96" t="s">
        <v>215</v>
      </c>
      <c r="C84" s="63">
        <v>3000000</v>
      </c>
      <c r="D84" s="145">
        <v>3</v>
      </c>
      <c r="E84" s="82"/>
      <c r="F84" s="115">
        <f t="shared" si="3"/>
        <v>3000000</v>
      </c>
      <c r="G84" s="23"/>
      <c r="H84" s="116"/>
      <c r="I84" s="23"/>
      <c r="J84" s="99">
        <f t="shared" si="19"/>
        <v>3000000</v>
      </c>
      <c r="K84" s="47"/>
      <c r="L84" s="82"/>
      <c r="M84" s="82">
        <f t="shared" si="20"/>
        <v>0</v>
      </c>
      <c r="N84" s="82"/>
      <c r="O84" s="82">
        <v>0</v>
      </c>
      <c r="P84" s="47"/>
      <c r="Q84" s="99"/>
      <c r="R84" s="180"/>
      <c r="S84" s="82"/>
      <c r="T84" s="47"/>
      <c r="U84" s="82"/>
      <c r="V84" s="252"/>
      <c r="W84" s="252"/>
      <c r="AA84" s="47" t="s">
        <v>219</v>
      </c>
      <c r="AB84" s="252"/>
      <c r="AD84" s="467">
        <f t="shared" si="0"/>
        <v>0</v>
      </c>
      <c r="AE84" s="82"/>
      <c r="AF84" s="82"/>
      <c r="AG84" s="82"/>
      <c r="AH84" s="82"/>
      <c r="AI84" s="735"/>
      <c r="AJ84" s="792"/>
      <c r="AK84" s="814"/>
    </row>
    <row r="85" spans="1:37" ht="15" hidden="1" x14ac:dyDescent="0.25">
      <c r="A85" s="47" t="s">
        <v>219</v>
      </c>
      <c r="B85" s="96" t="s">
        <v>216</v>
      </c>
      <c r="C85" s="63">
        <v>2500000</v>
      </c>
      <c r="D85" s="145">
        <v>2</v>
      </c>
      <c r="E85" s="82"/>
      <c r="F85" s="115">
        <f t="shared" si="3"/>
        <v>1000000</v>
      </c>
      <c r="G85" s="23">
        <v>1500000</v>
      </c>
      <c r="H85" s="116"/>
      <c r="I85" s="23"/>
      <c r="J85" s="99">
        <f t="shared" si="19"/>
        <v>2500000</v>
      </c>
      <c r="K85" s="47"/>
      <c r="L85" s="82">
        <f>346710+270650</f>
        <v>617360</v>
      </c>
      <c r="M85" s="82">
        <f t="shared" si="20"/>
        <v>617360</v>
      </c>
      <c r="N85" s="82"/>
      <c r="O85" s="82">
        <f>617360+279654</f>
        <v>897014</v>
      </c>
      <c r="P85" s="47"/>
      <c r="Q85" s="99"/>
      <c r="R85" s="180"/>
      <c r="S85" s="82"/>
      <c r="T85" s="47"/>
      <c r="U85" s="82"/>
      <c r="V85" s="252"/>
      <c r="W85" s="252"/>
      <c r="AA85" s="47" t="s">
        <v>219</v>
      </c>
      <c r="AB85" s="252"/>
      <c r="AD85" s="467">
        <f t="shared" ref="AD85:AD149" si="21">AC85</f>
        <v>0</v>
      </c>
      <c r="AE85" s="82"/>
      <c r="AF85" s="82"/>
      <c r="AG85" s="82"/>
      <c r="AH85" s="82"/>
      <c r="AI85" s="735"/>
      <c r="AJ85" s="792"/>
      <c r="AK85" s="814"/>
    </row>
    <row r="86" spans="1:37" ht="15" hidden="1" x14ac:dyDescent="0.25">
      <c r="A86" s="47" t="s">
        <v>219</v>
      </c>
      <c r="B86" s="96" t="s">
        <v>279</v>
      </c>
      <c r="C86" s="63">
        <v>2000000</v>
      </c>
      <c r="D86" s="145">
        <v>4</v>
      </c>
      <c r="E86" s="82"/>
      <c r="F86" s="115">
        <f t="shared" si="3"/>
        <v>0</v>
      </c>
      <c r="G86" s="63">
        <v>2000000</v>
      </c>
      <c r="H86" s="119"/>
      <c r="I86" s="63"/>
      <c r="J86" s="99">
        <f t="shared" si="19"/>
        <v>2000000</v>
      </c>
      <c r="K86" s="47"/>
      <c r="L86" s="82"/>
      <c r="M86" s="82">
        <f t="shared" si="20"/>
        <v>0</v>
      </c>
      <c r="N86" s="82"/>
      <c r="O86" s="82">
        <v>0</v>
      </c>
      <c r="P86" s="47"/>
      <c r="Q86" s="99"/>
      <c r="R86" s="180"/>
      <c r="S86" s="82"/>
      <c r="T86" s="47"/>
      <c r="U86" s="82"/>
      <c r="V86" s="252"/>
      <c r="W86" s="252"/>
      <c r="AA86" s="47" t="s">
        <v>219</v>
      </c>
      <c r="AB86" s="252"/>
      <c r="AD86" s="467">
        <f t="shared" si="21"/>
        <v>0</v>
      </c>
      <c r="AE86" s="82"/>
      <c r="AF86" s="82"/>
      <c r="AG86" s="82"/>
      <c r="AH86" s="82"/>
      <c r="AI86" s="735"/>
      <c r="AJ86" s="792"/>
      <c r="AK86" s="814"/>
    </row>
    <row r="87" spans="1:37" ht="15" hidden="1" x14ac:dyDescent="0.25">
      <c r="A87" s="47" t="s">
        <v>219</v>
      </c>
      <c r="B87" s="96" t="s">
        <v>291</v>
      </c>
      <c r="C87" s="63">
        <v>10000000</v>
      </c>
      <c r="D87" s="145">
        <v>3</v>
      </c>
      <c r="E87" s="82"/>
      <c r="F87" s="115">
        <f t="shared" si="3"/>
        <v>10000000</v>
      </c>
      <c r="G87" s="23"/>
      <c r="H87" s="116"/>
      <c r="I87" s="23"/>
      <c r="J87" s="99">
        <f t="shared" si="19"/>
        <v>10000000</v>
      </c>
      <c r="K87" s="47"/>
      <c r="L87" s="82"/>
      <c r="M87" s="82">
        <f t="shared" si="20"/>
        <v>0</v>
      </c>
      <c r="N87" s="82"/>
      <c r="O87" s="82">
        <v>0</v>
      </c>
      <c r="P87" s="47"/>
      <c r="Q87" s="99"/>
      <c r="R87" s="180"/>
      <c r="S87" s="82"/>
      <c r="T87" s="47"/>
      <c r="U87" s="82"/>
      <c r="V87" s="252"/>
      <c r="W87" s="252"/>
      <c r="AA87" s="47" t="s">
        <v>219</v>
      </c>
      <c r="AB87" s="252"/>
      <c r="AD87" s="467">
        <f t="shared" si="21"/>
        <v>0</v>
      </c>
      <c r="AE87" s="82"/>
      <c r="AF87" s="82"/>
      <c r="AG87" s="82"/>
      <c r="AH87" s="82"/>
      <c r="AI87" s="735"/>
      <c r="AJ87" s="792"/>
      <c r="AK87" s="814"/>
    </row>
    <row r="88" spans="1:37" ht="15" hidden="1" x14ac:dyDescent="0.25">
      <c r="A88" s="47" t="s">
        <v>219</v>
      </c>
      <c r="B88" s="96" t="s">
        <v>217</v>
      </c>
      <c r="C88" s="63">
        <v>5000000</v>
      </c>
      <c r="D88" s="145">
        <v>2</v>
      </c>
      <c r="E88" s="82"/>
      <c r="F88" s="115">
        <f t="shared" si="3"/>
        <v>5000000</v>
      </c>
      <c r="G88" s="23"/>
      <c r="H88" s="116"/>
      <c r="I88" s="23"/>
      <c r="J88" s="99">
        <f t="shared" si="19"/>
        <v>5000000</v>
      </c>
      <c r="K88" s="47"/>
      <c r="L88" s="82"/>
      <c r="M88" s="82">
        <f t="shared" si="20"/>
        <v>0</v>
      </c>
      <c r="N88" s="82"/>
      <c r="O88" s="82">
        <v>0</v>
      </c>
      <c r="P88" s="47"/>
      <c r="Q88" s="99"/>
      <c r="R88" s="180"/>
      <c r="S88" s="82"/>
      <c r="T88" s="47"/>
      <c r="U88" s="82"/>
      <c r="V88" s="252"/>
      <c r="W88" s="252"/>
      <c r="AA88" s="47" t="s">
        <v>219</v>
      </c>
      <c r="AB88" s="252"/>
      <c r="AD88" s="467">
        <f t="shared" si="21"/>
        <v>0</v>
      </c>
      <c r="AE88" s="82"/>
      <c r="AF88" s="82"/>
      <c r="AG88" s="82"/>
      <c r="AH88" s="82"/>
      <c r="AI88" s="735"/>
      <c r="AJ88" s="792"/>
      <c r="AK88" s="814"/>
    </row>
    <row r="89" spans="1:37" ht="15" hidden="1" x14ac:dyDescent="0.25">
      <c r="A89" s="47" t="s">
        <v>219</v>
      </c>
      <c r="B89" s="96" t="s">
        <v>218</v>
      </c>
      <c r="C89" s="63">
        <v>10000000</v>
      </c>
      <c r="D89" s="145">
        <v>3</v>
      </c>
      <c r="E89" s="82"/>
      <c r="F89" s="115">
        <f t="shared" si="3"/>
        <v>10000000</v>
      </c>
      <c r="G89" s="23"/>
      <c r="H89" s="116"/>
      <c r="I89" s="23"/>
      <c r="J89" s="99">
        <f t="shared" si="19"/>
        <v>10000000</v>
      </c>
      <c r="K89" s="47"/>
      <c r="L89" s="82"/>
      <c r="M89" s="82">
        <f t="shared" si="20"/>
        <v>0</v>
      </c>
      <c r="N89" s="82"/>
      <c r="O89" s="82">
        <v>55800</v>
      </c>
      <c r="P89" s="47"/>
      <c r="Q89" s="99"/>
      <c r="R89" s="180"/>
      <c r="S89" s="82"/>
      <c r="T89" s="47"/>
      <c r="U89" s="82"/>
      <c r="V89" s="252"/>
      <c r="W89" s="252"/>
      <c r="AA89" s="47" t="s">
        <v>219</v>
      </c>
      <c r="AB89" s="252"/>
      <c r="AD89" s="467">
        <f t="shared" si="21"/>
        <v>0</v>
      </c>
      <c r="AE89" s="82"/>
      <c r="AF89" s="82"/>
      <c r="AG89" s="82"/>
      <c r="AH89" s="82"/>
      <c r="AI89" s="735"/>
      <c r="AJ89" s="792"/>
      <c r="AK89" s="814"/>
    </row>
    <row r="90" spans="1:37" ht="15" hidden="1" x14ac:dyDescent="0.25">
      <c r="A90" s="47" t="s">
        <v>219</v>
      </c>
      <c r="B90" s="96" t="s">
        <v>280</v>
      </c>
      <c r="C90" s="63">
        <v>600000</v>
      </c>
      <c r="D90" s="145">
        <v>3</v>
      </c>
      <c r="E90" s="82"/>
      <c r="F90" s="115">
        <f t="shared" si="3"/>
        <v>500000</v>
      </c>
      <c r="G90" s="23">
        <v>100000</v>
      </c>
      <c r="H90" s="116"/>
      <c r="I90" s="23"/>
      <c r="J90" s="99">
        <f t="shared" si="19"/>
        <v>600000</v>
      </c>
      <c r="K90" s="47"/>
      <c r="L90" s="82">
        <v>597630</v>
      </c>
      <c r="M90" s="82">
        <f t="shared" si="20"/>
        <v>597630</v>
      </c>
      <c r="N90" s="82"/>
      <c r="O90" s="82">
        <v>597630</v>
      </c>
      <c r="P90" s="47"/>
      <c r="Q90" s="99"/>
      <c r="R90" s="180"/>
      <c r="S90" s="82"/>
      <c r="T90" s="47"/>
      <c r="U90" s="82"/>
      <c r="V90" s="252"/>
      <c r="W90" s="252"/>
      <c r="AA90" s="47" t="s">
        <v>219</v>
      </c>
      <c r="AB90" s="252"/>
      <c r="AD90" s="467">
        <f t="shared" si="21"/>
        <v>0</v>
      </c>
      <c r="AE90" s="82"/>
      <c r="AF90" s="82"/>
      <c r="AG90" s="82"/>
      <c r="AH90" s="82"/>
      <c r="AI90" s="735"/>
      <c r="AJ90" s="792"/>
      <c r="AK90" s="814"/>
    </row>
    <row r="91" spans="1:37" ht="15" hidden="1" x14ac:dyDescent="0.25">
      <c r="A91" s="47" t="s">
        <v>219</v>
      </c>
      <c r="B91" s="96" t="s">
        <v>316</v>
      </c>
      <c r="C91" s="63">
        <v>15000000</v>
      </c>
      <c r="D91" s="145">
        <v>1</v>
      </c>
      <c r="E91" s="82"/>
      <c r="F91" s="115">
        <f t="shared" si="3"/>
        <v>15000000</v>
      </c>
      <c r="G91" s="23"/>
      <c r="H91" s="116"/>
      <c r="I91" s="23"/>
      <c r="J91" s="99">
        <f t="shared" si="19"/>
        <v>15000000</v>
      </c>
      <c r="K91" s="47"/>
      <c r="L91" s="82">
        <v>3875287</v>
      </c>
      <c r="M91" s="82">
        <f t="shared" si="20"/>
        <v>3875287</v>
      </c>
      <c r="N91" s="82"/>
      <c r="O91" s="82">
        <f>3875287+1602655+223957+965762</f>
        <v>6667661</v>
      </c>
      <c r="P91" s="47"/>
      <c r="Q91" s="99"/>
      <c r="R91" s="180"/>
      <c r="S91" s="82"/>
      <c r="T91" s="47"/>
      <c r="U91" s="82"/>
      <c r="V91" s="252"/>
      <c r="W91" s="252"/>
      <c r="AA91" s="47" t="s">
        <v>219</v>
      </c>
      <c r="AB91" s="252"/>
      <c r="AD91" s="467">
        <f t="shared" si="21"/>
        <v>0</v>
      </c>
      <c r="AE91" s="82"/>
      <c r="AF91" s="82"/>
      <c r="AG91" s="82"/>
      <c r="AH91" s="82"/>
      <c r="AI91" s="735"/>
      <c r="AJ91" s="792"/>
      <c r="AK91" s="814"/>
    </row>
    <row r="92" spans="1:37" ht="15" hidden="1" x14ac:dyDescent="0.25">
      <c r="A92" s="47" t="s">
        <v>219</v>
      </c>
      <c r="B92" s="96" t="s">
        <v>285</v>
      </c>
      <c r="C92" s="63">
        <v>17600000</v>
      </c>
      <c r="D92" s="145">
        <v>1</v>
      </c>
      <c r="E92" s="82"/>
      <c r="F92" s="115">
        <f t="shared" si="3"/>
        <v>17600000</v>
      </c>
      <c r="G92" s="23"/>
      <c r="H92" s="116"/>
      <c r="I92" s="23"/>
      <c r="J92" s="99">
        <f t="shared" si="19"/>
        <v>17600000</v>
      </c>
      <c r="K92" s="47"/>
      <c r="L92" s="82">
        <v>18556032</v>
      </c>
      <c r="M92" s="82">
        <f t="shared" si="20"/>
        <v>18556032</v>
      </c>
      <c r="N92" s="82"/>
      <c r="O92" s="82">
        <v>18556032</v>
      </c>
      <c r="P92" s="47"/>
      <c r="Q92" s="99"/>
      <c r="R92" s="180"/>
      <c r="S92" s="82"/>
      <c r="T92" s="47"/>
      <c r="U92" s="82"/>
      <c r="V92" s="252"/>
      <c r="W92" s="252"/>
      <c r="AA92" s="47" t="s">
        <v>219</v>
      </c>
      <c r="AB92" s="252"/>
      <c r="AD92" s="467">
        <f t="shared" si="21"/>
        <v>0</v>
      </c>
      <c r="AE92" s="82"/>
      <c r="AF92" s="82"/>
      <c r="AG92" s="82"/>
      <c r="AH92" s="82"/>
      <c r="AI92" s="735"/>
      <c r="AJ92" s="792"/>
      <c r="AK92" s="814"/>
    </row>
    <row r="93" spans="1:37" ht="15" hidden="1" x14ac:dyDescent="0.25">
      <c r="A93" s="47" t="s">
        <v>219</v>
      </c>
      <c r="B93" s="96" t="s">
        <v>283</v>
      </c>
      <c r="C93" s="63">
        <v>22562249</v>
      </c>
      <c r="D93" s="145">
        <v>1</v>
      </c>
      <c r="E93" s="82"/>
      <c r="F93" s="115">
        <f t="shared" si="3"/>
        <v>22562249</v>
      </c>
      <c r="G93" s="23"/>
      <c r="H93" s="116"/>
      <c r="I93" s="23"/>
      <c r="J93" s="99">
        <f t="shared" si="19"/>
        <v>22562249</v>
      </c>
      <c r="K93" s="47"/>
      <c r="L93" s="82">
        <f>25059208+26142</f>
        <v>25085350</v>
      </c>
      <c r="M93" s="82">
        <f>L93+116840</f>
        <v>25202190</v>
      </c>
      <c r="N93" s="82"/>
      <c r="O93" s="82">
        <f>25202190+1609782</f>
        <v>26811972</v>
      </c>
      <c r="P93" s="47"/>
      <c r="Q93" s="99"/>
      <c r="R93" s="180"/>
      <c r="S93" s="82"/>
      <c r="T93" s="47"/>
      <c r="U93" s="82"/>
      <c r="V93" s="252"/>
      <c r="W93" s="252"/>
      <c r="AA93" s="47" t="s">
        <v>219</v>
      </c>
      <c r="AB93" s="252"/>
      <c r="AD93" s="467">
        <f t="shared" si="21"/>
        <v>0</v>
      </c>
      <c r="AE93" s="82"/>
      <c r="AF93" s="82"/>
      <c r="AG93" s="82"/>
      <c r="AH93" s="82"/>
      <c r="AI93" s="735"/>
      <c r="AJ93" s="792"/>
      <c r="AK93" s="814"/>
    </row>
    <row r="94" spans="1:37" ht="15" hidden="1" x14ac:dyDescent="0.25">
      <c r="A94" s="47" t="s">
        <v>219</v>
      </c>
      <c r="B94" s="96" t="s">
        <v>350</v>
      </c>
      <c r="C94" s="63">
        <v>250000000</v>
      </c>
      <c r="D94" s="145">
        <v>2</v>
      </c>
      <c r="E94" s="82"/>
      <c r="F94" s="115">
        <f>C94*0.05-G94</f>
        <v>5000000</v>
      </c>
      <c r="G94" s="23">
        <v>7500000</v>
      </c>
      <c r="H94" s="116"/>
      <c r="I94" s="23"/>
      <c r="J94" s="99">
        <f t="shared" si="19"/>
        <v>12500000</v>
      </c>
      <c r="K94" s="47"/>
      <c r="L94" s="82">
        <f>432000+850400+184400+74400+518000</f>
        <v>2059200</v>
      </c>
      <c r="M94" s="82">
        <f>L94+119375</f>
        <v>2178575</v>
      </c>
      <c r="N94" s="82"/>
      <c r="O94" s="82">
        <f>2178575+79375+3779375</f>
        <v>6037325</v>
      </c>
      <c r="P94" s="47"/>
      <c r="Q94" s="99"/>
      <c r="R94" s="180"/>
      <c r="S94" s="82"/>
      <c r="T94" s="47"/>
      <c r="U94" s="82"/>
      <c r="V94" s="252"/>
      <c r="W94" s="252"/>
      <c r="AA94" s="47" t="s">
        <v>219</v>
      </c>
      <c r="AB94" s="252"/>
      <c r="AD94" s="467">
        <f t="shared" si="21"/>
        <v>0</v>
      </c>
      <c r="AE94" s="82"/>
      <c r="AF94" s="82"/>
      <c r="AG94" s="82"/>
      <c r="AH94" s="82"/>
      <c r="AI94" s="735"/>
      <c r="AJ94" s="792"/>
      <c r="AK94" s="814"/>
    </row>
    <row r="95" spans="1:37" hidden="1" x14ac:dyDescent="0.2">
      <c r="A95" s="47" t="s">
        <v>219</v>
      </c>
      <c r="B95" s="47" t="s">
        <v>274</v>
      </c>
      <c r="C95" s="23">
        <v>600000</v>
      </c>
      <c r="D95" s="145">
        <v>1</v>
      </c>
      <c r="E95" s="82"/>
      <c r="F95" s="115">
        <f t="shared" si="3"/>
        <v>300000</v>
      </c>
      <c r="G95" s="23">
        <v>300000</v>
      </c>
      <c r="H95" s="116"/>
      <c r="I95" s="23"/>
      <c r="J95" s="99">
        <f t="shared" si="19"/>
        <v>600000</v>
      </c>
      <c r="K95" s="47"/>
      <c r="L95" s="82">
        <v>532704</v>
      </c>
      <c r="M95" s="82">
        <f t="shared" si="20"/>
        <v>532704</v>
      </c>
      <c r="N95" s="82"/>
      <c r="O95" s="82">
        <v>532704</v>
      </c>
      <c r="P95" s="47"/>
      <c r="Q95" s="99"/>
      <c r="R95" s="180"/>
      <c r="S95" s="82"/>
      <c r="T95" s="47"/>
      <c r="U95" s="82"/>
      <c r="V95" s="252"/>
      <c r="W95" s="252"/>
      <c r="AA95" s="47" t="s">
        <v>219</v>
      </c>
      <c r="AB95" s="252"/>
      <c r="AD95" s="467">
        <f t="shared" si="21"/>
        <v>0</v>
      </c>
      <c r="AE95" s="82"/>
      <c r="AF95" s="82"/>
      <c r="AG95" s="82"/>
      <c r="AH95" s="82"/>
      <c r="AI95" s="735"/>
      <c r="AJ95" s="792"/>
      <c r="AK95" s="814"/>
    </row>
    <row r="96" spans="1:37" hidden="1" x14ac:dyDescent="0.2">
      <c r="A96" s="47" t="s">
        <v>219</v>
      </c>
      <c r="B96" s="47" t="s">
        <v>287</v>
      </c>
      <c r="C96" s="23">
        <v>24096274</v>
      </c>
      <c r="D96" s="145">
        <v>1</v>
      </c>
      <c r="E96" s="23"/>
      <c r="F96" s="116">
        <f>C96*0.1-G96</f>
        <v>2409627.4</v>
      </c>
      <c r="G96" s="23"/>
      <c r="H96" s="116"/>
      <c r="I96" s="23"/>
      <c r="J96" s="99">
        <f t="shared" si="19"/>
        <v>2409627.4</v>
      </c>
      <c r="K96" s="47"/>
      <c r="L96" s="82">
        <v>6786499</v>
      </c>
      <c r="M96" s="82">
        <f t="shared" si="20"/>
        <v>6786499</v>
      </c>
      <c r="N96" s="82"/>
      <c r="O96" s="82">
        <v>6786499</v>
      </c>
      <c r="P96" s="47"/>
      <c r="Q96" s="99"/>
      <c r="R96" s="180"/>
      <c r="S96" s="82"/>
      <c r="T96" s="47"/>
      <c r="U96" s="82"/>
      <c r="V96" s="252"/>
      <c r="W96" s="252"/>
      <c r="AA96" s="47" t="s">
        <v>219</v>
      </c>
      <c r="AB96" s="252"/>
      <c r="AD96" s="467">
        <f t="shared" si="21"/>
        <v>0</v>
      </c>
      <c r="AE96" s="82"/>
      <c r="AF96" s="82"/>
      <c r="AG96" s="82"/>
      <c r="AH96" s="82"/>
      <c r="AI96" s="735"/>
      <c r="AJ96" s="792"/>
      <c r="AK96" s="814"/>
    </row>
    <row r="97" spans="1:37" hidden="1" x14ac:dyDescent="0.2">
      <c r="A97" s="47" t="s">
        <v>219</v>
      </c>
      <c r="B97" s="47" t="s">
        <v>271</v>
      </c>
      <c r="C97" s="23">
        <v>5134775</v>
      </c>
      <c r="D97" s="145">
        <v>1</v>
      </c>
      <c r="E97" s="82"/>
      <c r="F97" s="115">
        <f t="shared" si="3"/>
        <v>5134775</v>
      </c>
      <c r="G97" s="23"/>
      <c r="H97" s="116"/>
      <c r="I97" s="23"/>
      <c r="J97" s="99">
        <f t="shared" si="19"/>
        <v>5134775</v>
      </c>
      <c r="K97" s="47"/>
      <c r="L97" s="82">
        <v>400000</v>
      </c>
      <c r="M97" s="82">
        <f t="shared" si="20"/>
        <v>400000</v>
      </c>
      <c r="N97" s="82"/>
      <c r="O97" s="82">
        <f>400000+2081902+383900</f>
        <v>2865802</v>
      </c>
      <c r="P97" s="47"/>
      <c r="Q97" s="99"/>
      <c r="R97" s="180"/>
      <c r="S97" s="82"/>
      <c r="T97" s="47"/>
      <c r="U97" s="82"/>
      <c r="V97" s="252"/>
      <c r="W97" s="252"/>
      <c r="AA97" s="47" t="s">
        <v>219</v>
      </c>
      <c r="AB97" s="252"/>
      <c r="AD97" s="467">
        <f t="shared" si="21"/>
        <v>0</v>
      </c>
      <c r="AE97" s="82"/>
      <c r="AF97" s="82"/>
      <c r="AG97" s="82"/>
      <c r="AH97" s="82"/>
      <c r="AI97" s="735"/>
      <c r="AJ97" s="792"/>
      <c r="AK97" s="814"/>
    </row>
    <row r="98" spans="1:37" hidden="1" x14ac:dyDescent="0.2">
      <c r="A98" s="47" t="s">
        <v>219</v>
      </c>
      <c r="B98" s="24" t="s">
        <v>282</v>
      </c>
      <c r="C98" s="23">
        <v>65531961</v>
      </c>
      <c r="D98" s="145">
        <v>2</v>
      </c>
      <c r="E98" s="109"/>
      <c r="F98" s="116">
        <f>C98*0.05-G98</f>
        <v>3276598.0500000003</v>
      </c>
      <c r="G98" s="23"/>
      <c r="H98" s="116"/>
      <c r="I98" s="23"/>
      <c r="J98" s="99">
        <f t="shared" si="19"/>
        <v>3276598.0500000003</v>
      </c>
      <c r="K98" s="47"/>
      <c r="L98" s="82">
        <f>866648+23070661+635000</f>
        <v>24572309</v>
      </c>
      <c r="M98" s="82">
        <f t="shared" si="20"/>
        <v>24572309</v>
      </c>
      <c r="N98" s="82"/>
      <c r="O98" s="82">
        <f>24572309+6780538+15453011+300000</f>
        <v>47105858</v>
      </c>
      <c r="P98" s="47"/>
      <c r="Q98" s="99"/>
      <c r="R98" s="180"/>
      <c r="S98" s="82"/>
      <c r="T98" s="47"/>
      <c r="U98" s="82"/>
      <c r="V98" s="252"/>
      <c r="W98" s="252"/>
      <c r="AA98" s="47" t="s">
        <v>219</v>
      </c>
      <c r="AB98" s="252"/>
      <c r="AD98" s="467">
        <f t="shared" si="21"/>
        <v>0</v>
      </c>
      <c r="AE98" s="82"/>
      <c r="AF98" s="82"/>
      <c r="AG98" s="82"/>
      <c r="AH98" s="82"/>
      <c r="AI98" s="735"/>
      <c r="AJ98" s="792"/>
      <c r="AK98" s="814"/>
    </row>
    <row r="99" spans="1:37" hidden="1" x14ac:dyDescent="0.2">
      <c r="A99" s="47" t="s">
        <v>219</v>
      </c>
      <c r="B99" s="47" t="s">
        <v>272</v>
      </c>
      <c r="C99" s="23">
        <v>1700000</v>
      </c>
      <c r="D99" s="145">
        <v>2</v>
      </c>
      <c r="E99" s="82"/>
      <c r="F99" s="115">
        <f t="shared" si="3"/>
        <v>1700000</v>
      </c>
      <c r="G99" s="23"/>
      <c r="H99" s="116"/>
      <c r="I99" s="23"/>
      <c r="J99" s="99">
        <f t="shared" si="19"/>
        <v>1700000</v>
      </c>
      <c r="K99" s="47"/>
      <c r="L99" s="82">
        <v>137500</v>
      </c>
      <c r="M99" s="82">
        <f t="shared" si="20"/>
        <v>137500</v>
      </c>
      <c r="N99" s="82"/>
      <c r="O99" s="82">
        <v>137500</v>
      </c>
      <c r="P99" s="47"/>
      <c r="Q99" s="99"/>
      <c r="R99" s="180"/>
      <c r="S99" s="82"/>
      <c r="T99" s="47"/>
      <c r="U99" s="82"/>
      <c r="V99" s="252"/>
      <c r="W99" s="252"/>
      <c r="AA99" s="47" t="s">
        <v>219</v>
      </c>
      <c r="AB99" s="252"/>
      <c r="AD99" s="467">
        <f t="shared" si="21"/>
        <v>0</v>
      </c>
      <c r="AE99" s="82"/>
      <c r="AF99" s="82"/>
      <c r="AG99" s="82"/>
      <c r="AH99" s="82"/>
      <c r="AI99" s="735"/>
      <c r="AJ99" s="792"/>
      <c r="AK99" s="814"/>
    </row>
    <row r="100" spans="1:37" hidden="1" x14ac:dyDescent="0.2">
      <c r="A100" s="47" t="s">
        <v>219</v>
      </c>
      <c r="B100" s="47" t="s">
        <v>286</v>
      </c>
      <c r="C100" s="23">
        <v>14344750</v>
      </c>
      <c r="D100" s="145">
        <v>1</v>
      </c>
      <c r="E100" s="82"/>
      <c r="F100" s="116">
        <f>C100-8400000-G100</f>
        <v>5944750</v>
      </c>
      <c r="G100" s="23"/>
      <c r="H100" s="116"/>
      <c r="I100" s="23"/>
      <c r="J100" s="99">
        <f t="shared" si="19"/>
        <v>5944750</v>
      </c>
      <c r="K100" s="47"/>
      <c r="L100" s="82"/>
      <c r="M100" s="82">
        <f t="shared" si="20"/>
        <v>0</v>
      </c>
      <c r="N100" s="82"/>
      <c r="O100" s="82">
        <v>0</v>
      </c>
      <c r="P100" s="47"/>
      <c r="Q100" s="99"/>
      <c r="R100" s="180"/>
      <c r="S100" s="82"/>
      <c r="T100" s="47"/>
      <c r="U100" s="82"/>
      <c r="V100" s="252"/>
      <c r="W100" s="252"/>
      <c r="AA100" s="47" t="s">
        <v>219</v>
      </c>
      <c r="AB100" s="252"/>
      <c r="AD100" s="467">
        <f t="shared" si="21"/>
        <v>0</v>
      </c>
      <c r="AE100" s="82"/>
      <c r="AF100" s="82"/>
      <c r="AG100" s="82"/>
      <c r="AH100" s="82"/>
      <c r="AI100" s="735"/>
      <c r="AJ100" s="792"/>
      <c r="AK100" s="814"/>
    </row>
    <row r="101" spans="1:37" hidden="1" x14ac:dyDescent="0.2">
      <c r="A101" s="47" t="s">
        <v>219</v>
      </c>
      <c r="B101" s="47" t="s">
        <v>284</v>
      </c>
      <c r="C101" s="23">
        <v>952500</v>
      </c>
      <c r="D101" s="145">
        <v>1</v>
      </c>
      <c r="E101" s="82"/>
      <c r="F101" s="116">
        <f>C101-G101</f>
        <v>952500</v>
      </c>
      <c r="G101" s="23"/>
      <c r="H101" s="116"/>
      <c r="I101" s="23"/>
      <c r="J101" s="99">
        <f t="shared" si="19"/>
        <v>952500</v>
      </c>
      <c r="K101" s="47"/>
      <c r="L101" s="82"/>
      <c r="M101" s="82">
        <f t="shared" si="20"/>
        <v>0</v>
      </c>
      <c r="N101" s="82"/>
      <c r="O101" s="82">
        <v>0</v>
      </c>
      <c r="P101" s="47"/>
      <c r="Q101" s="99"/>
      <c r="R101" s="180"/>
      <c r="S101" s="82"/>
      <c r="T101" s="47"/>
      <c r="U101" s="82"/>
      <c r="V101" s="252"/>
      <c r="W101" s="252"/>
      <c r="AA101" s="47" t="s">
        <v>219</v>
      </c>
      <c r="AB101" s="252"/>
      <c r="AD101" s="467">
        <f t="shared" si="21"/>
        <v>0</v>
      </c>
      <c r="AE101" s="82"/>
      <c r="AF101" s="82"/>
      <c r="AG101" s="82"/>
      <c r="AH101" s="82"/>
      <c r="AI101" s="735"/>
      <c r="AJ101" s="792"/>
      <c r="AK101" s="814"/>
    </row>
    <row r="102" spans="1:37" hidden="1" x14ac:dyDescent="0.2">
      <c r="A102" s="47" t="s">
        <v>219</v>
      </c>
      <c r="B102" s="47" t="s">
        <v>273</v>
      </c>
      <c r="C102" s="23">
        <v>3105150</v>
      </c>
      <c r="D102" s="145">
        <v>1</v>
      </c>
      <c r="E102" s="82"/>
      <c r="F102" s="116">
        <f>C102-G102</f>
        <v>3105150</v>
      </c>
      <c r="G102" s="23"/>
      <c r="H102" s="116"/>
      <c r="I102" s="23"/>
      <c r="J102" s="99">
        <f t="shared" si="19"/>
        <v>3105150</v>
      </c>
      <c r="K102" s="47"/>
      <c r="L102" s="82">
        <v>1263650</v>
      </c>
      <c r="M102" s="82">
        <f t="shared" si="20"/>
        <v>1263650</v>
      </c>
      <c r="N102" s="82"/>
      <c r="O102" s="82">
        <v>1263650</v>
      </c>
      <c r="P102" s="47"/>
      <c r="Q102" s="99"/>
      <c r="R102" s="180"/>
      <c r="S102" s="82"/>
      <c r="T102" s="47"/>
      <c r="U102" s="82"/>
      <c r="V102" s="252"/>
      <c r="W102" s="252"/>
      <c r="AA102" s="47" t="s">
        <v>219</v>
      </c>
      <c r="AB102" s="252"/>
      <c r="AD102" s="467">
        <f t="shared" si="21"/>
        <v>0</v>
      </c>
      <c r="AE102" s="82"/>
      <c r="AF102" s="82"/>
      <c r="AG102" s="82"/>
      <c r="AH102" s="82"/>
      <c r="AI102" s="735"/>
      <c r="AJ102" s="792"/>
      <c r="AK102" s="814"/>
    </row>
    <row r="103" spans="1:37" hidden="1" x14ac:dyDescent="0.2">
      <c r="A103" s="47" t="s">
        <v>219</v>
      </c>
      <c r="B103" s="47" t="s">
        <v>281</v>
      </c>
      <c r="C103" s="23">
        <v>34268456</v>
      </c>
      <c r="D103" s="145">
        <v>2</v>
      </c>
      <c r="E103" s="82"/>
      <c r="F103" s="116">
        <f>C103*0.05-G103</f>
        <v>1713422.8</v>
      </c>
      <c r="G103" s="23"/>
      <c r="H103" s="116"/>
      <c r="I103" s="23"/>
      <c r="J103" s="99">
        <f t="shared" si="19"/>
        <v>1713422.8</v>
      </c>
      <c r="K103" s="47"/>
      <c r="L103" s="82">
        <f>45306022+292100</f>
        <v>45598122</v>
      </c>
      <c r="M103" s="82">
        <f t="shared" si="20"/>
        <v>45598122</v>
      </c>
      <c r="N103" s="82"/>
      <c r="O103" s="82">
        <f>45598122+335797+1513020</f>
        <v>47446939</v>
      </c>
      <c r="P103" s="47"/>
      <c r="Q103" s="99"/>
      <c r="R103" s="180"/>
      <c r="S103" s="82"/>
      <c r="T103" s="47"/>
      <c r="U103" s="82"/>
      <c r="V103" s="252"/>
      <c r="W103" s="252"/>
      <c r="AA103" s="47" t="s">
        <v>219</v>
      </c>
      <c r="AB103" s="252"/>
      <c r="AD103" s="467">
        <f t="shared" si="21"/>
        <v>0</v>
      </c>
      <c r="AE103" s="82"/>
      <c r="AF103" s="82"/>
      <c r="AG103" s="82"/>
      <c r="AH103" s="82"/>
      <c r="AI103" s="735"/>
      <c r="AJ103" s="792"/>
      <c r="AK103" s="814"/>
    </row>
    <row r="104" spans="1:37" hidden="1" x14ac:dyDescent="0.2">
      <c r="A104" s="24" t="s">
        <v>219</v>
      </c>
      <c r="B104" s="24" t="s">
        <v>341</v>
      </c>
      <c r="C104" s="23"/>
      <c r="D104" s="145"/>
      <c r="E104" s="82"/>
      <c r="F104" s="116"/>
      <c r="G104" s="23"/>
      <c r="H104" s="116"/>
      <c r="I104" s="23"/>
      <c r="J104" s="99"/>
      <c r="K104" s="47"/>
      <c r="L104" s="82">
        <v>186000</v>
      </c>
      <c r="M104" s="82">
        <f t="shared" si="20"/>
        <v>186000</v>
      </c>
      <c r="N104" s="82"/>
      <c r="O104" s="82">
        <v>186000</v>
      </c>
      <c r="P104" s="47"/>
      <c r="Q104" s="99"/>
      <c r="R104" s="180"/>
      <c r="S104" s="82"/>
      <c r="T104" s="47"/>
      <c r="U104" s="82"/>
      <c r="V104" s="252"/>
      <c r="W104" s="252"/>
      <c r="AA104" s="24" t="s">
        <v>219</v>
      </c>
      <c r="AB104" s="252"/>
      <c r="AD104" s="467">
        <f t="shared" si="21"/>
        <v>0</v>
      </c>
      <c r="AE104" s="82"/>
      <c r="AF104" s="82"/>
      <c r="AG104" s="82"/>
      <c r="AH104" s="82"/>
      <c r="AI104" s="735"/>
      <c r="AJ104" s="792"/>
      <c r="AK104" s="814"/>
    </row>
    <row r="105" spans="1:37" hidden="1" x14ac:dyDescent="0.2">
      <c r="A105" s="24" t="s">
        <v>219</v>
      </c>
      <c r="B105" s="24" t="s">
        <v>342</v>
      </c>
      <c r="C105" s="23"/>
      <c r="D105" s="145"/>
      <c r="E105" s="82"/>
      <c r="F105" s="116"/>
      <c r="G105" s="23"/>
      <c r="H105" s="116"/>
      <c r="I105" s="23"/>
      <c r="J105" s="99"/>
      <c r="K105" s="47"/>
      <c r="L105" s="82">
        <v>11000000</v>
      </c>
      <c r="M105" s="82">
        <f t="shared" si="20"/>
        <v>11000000</v>
      </c>
      <c r="N105" s="82"/>
      <c r="O105" s="82">
        <v>11000000</v>
      </c>
      <c r="P105" s="47"/>
      <c r="Q105" s="99"/>
      <c r="R105" s="180"/>
      <c r="S105" s="82"/>
      <c r="T105" s="47"/>
      <c r="U105" s="82"/>
      <c r="V105" s="252"/>
      <c r="W105" s="252"/>
      <c r="AA105" s="24" t="s">
        <v>219</v>
      </c>
      <c r="AB105" s="252"/>
      <c r="AD105" s="467">
        <f t="shared" si="21"/>
        <v>0</v>
      </c>
      <c r="AE105" s="82"/>
      <c r="AF105" s="82"/>
      <c r="AG105" s="82"/>
      <c r="AH105" s="82"/>
      <c r="AI105" s="735"/>
      <c r="AJ105" s="792"/>
      <c r="AK105" s="814"/>
    </row>
    <row r="106" spans="1:37" hidden="1" x14ac:dyDescent="0.2">
      <c r="A106" s="24" t="s">
        <v>219</v>
      </c>
      <c r="B106" s="24" t="s">
        <v>364</v>
      </c>
      <c r="C106" s="23"/>
      <c r="D106" s="145"/>
      <c r="E106" s="82"/>
      <c r="F106" s="116"/>
      <c r="G106" s="23"/>
      <c r="H106" s="116"/>
      <c r="I106" s="23"/>
      <c r="J106" s="99"/>
      <c r="K106" s="47"/>
      <c r="L106" s="82"/>
      <c r="M106" s="82">
        <v>190500</v>
      </c>
      <c r="N106" s="82"/>
      <c r="O106" s="82">
        <f>190500+203200</f>
        <v>393700</v>
      </c>
      <c r="P106" s="47"/>
      <c r="Q106" s="99"/>
      <c r="R106" s="180"/>
      <c r="S106" s="82"/>
      <c r="T106" s="47"/>
      <c r="U106" s="82"/>
      <c r="V106" s="252"/>
      <c r="W106" s="252"/>
      <c r="AA106" s="24" t="s">
        <v>219</v>
      </c>
      <c r="AB106" s="252"/>
      <c r="AD106" s="467">
        <f t="shared" si="21"/>
        <v>0</v>
      </c>
      <c r="AE106" s="82"/>
      <c r="AF106" s="82"/>
      <c r="AG106" s="82"/>
      <c r="AH106" s="82"/>
      <c r="AI106" s="735"/>
      <c r="AJ106" s="792"/>
      <c r="AK106" s="814"/>
    </row>
    <row r="107" spans="1:37" hidden="1" x14ac:dyDescent="0.2">
      <c r="A107" s="24" t="s">
        <v>219</v>
      </c>
      <c r="B107" s="24" t="s">
        <v>363</v>
      </c>
      <c r="C107" s="23"/>
      <c r="D107" s="145"/>
      <c r="E107" s="82"/>
      <c r="F107" s="116"/>
      <c r="G107" s="23"/>
      <c r="H107" s="116"/>
      <c r="I107" s="23"/>
      <c r="J107" s="99"/>
      <c r="K107" s="47"/>
      <c r="L107" s="82"/>
      <c r="M107" s="82">
        <v>155800</v>
      </c>
      <c r="N107" s="82"/>
      <c r="O107" s="82">
        <v>155800</v>
      </c>
      <c r="P107" s="47"/>
      <c r="Q107" s="99"/>
      <c r="R107" s="180"/>
      <c r="S107" s="82"/>
      <c r="T107" s="47"/>
      <c r="U107" s="82"/>
      <c r="V107" s="252"/>
      <c r="W107" s="252"/>
      <c r="AA107" s="24" t="s">
        <v>219</v>
      </c>
      <c r="AB107" s="252"/>
      <c r="AD107" s="467">
        <f t="shared" si="21"/>
        <v>0</v>
      </c>
      <c r="AE107" s="82"/>
      <c r="AF107" s="82"/>
      <c r="AG107" s="82"/>
      <c r="AH107" s="82"/>
      <c r="AI107" s="735"/>
      <c r="AJ107" s="792"/>
      <c r="AK107" s="814"/>
    </row>
    <row r="108" spans="1:37" hidden="1" x14ac:dyDescent="0.2">
      <c r="A108" s="24" t="s">
        <v>219</v>
      </c>
      <c r="B108" s="24" t="s">
        <v>370</v>
      </c>
      <c r="C108" s="23"/>
      <c r="D108" s="145"/>
      <c r="E108" s="82"/>
      <c r="F108" s="116"/>
      <c r="G108" s="23"/>
      <c r="H108" s="116"/>
      <c r="I108" s="23"/>
      <c r="J108" s="99"/>
      <c r="K108" s="47"/>
      <c r="L108" s="82"/>
      <c r="M108" s="82">
        <v>22733</v>
      </c>
      <c r="N108" s="82"/>
      <c r="O108" s="82">
        <v>22733</v>
      </c>
      <c r="P108" s="47"/>
      <c r="Q108" s="99"/>
      <c r="R108" s="180"/>
      <c r="S108" s="82"/>
      <c r="T108" s="47"/>
      <c r="U108" s="82"/>
      <c r="V108" s="252"/>
      <c r="W108" s="252"/>
      <c r="AA108" s="24" t="s">
        <v>219</v>
      </c>
      <c r="AB108" s="252"/>
      <c r="AD108" s="467">
        <f t="shared" si="21"/>
        <v>0</v>
      </c>
      <c r="AE108" s="82"/>
      <c r="AF108" s="82"/>
      <c r="AG108" s="82"/>
      <c r="AH108" s="82"/>
      <c r="AI108" s="735"/>
      <c r="AJ108" s="792"/>
      <c r="AK108" s="814"/>
    </row>
    <row r="109" spans="1:37" ht="20.25" hidden="1" customHeight="1" x14ac:dyDescent="0.2">
      <c r="A109" s="24" t="s">
        <v>219</v>
      </c>
      <c r="B109" s="24" t="s">
        <v>371</v>
      </c>
      <c r="C109" s="23"/>
      <c r="D109" s="145"/>
      <c r="E109" s="82"/>
      <c r="F109" s="116"/>
      <c r="G109" s="23"/>
      <c r="H109" s="116"/>
      <c r="I109" s="23"/>
      <c r="J109" s="99"/>
      <c r="K109" s="47"/>
      <c r="L109" s="82"/>
      <c r="M109" s="82">
        <v>276606</v>
      </c>
      <c r="N109" s="82"/>
      <c r="O109" s="82">
        <v>276606</v>
      </c>
      <c r="P109" s="47"/>
      <c r="Q109" s="99"/>
      <c r="R109" s="180"/>
      <c r="S109" s="82"/>
      <c r="T109" s="47"/>
      <c r="U109" s="82"/>
      <c r="V109" s="252"/>
      <c r="W109" s="252"/>
      <c r="AA109" s="24" t="s">
        <v>219</v>
      </c>
      <c r="AB109" s="252"/>
      <c r="AD109" s="467">
        <f t="shared" si="21"/>
        <v>0</v>
      </c>
      <c r="AE109" s="82"/>
      <c r="AF109" s="82"/>
      <c r="AG109" s="82"/>
      <c r="AH109" s="82"/>
      <c r="AI109" s="735"/>
      <c r="AJ109" s="792"/>
      <c r="AK109" s="814"/>
    </row>
    <row r="110" spans="1:37" ht="20.25" hidden="1" customHeight="1" x14ac:dyDescent="0.2">
      <c r="A110" s="24" t="s">
        <v>219</v>
      </c>
      <c r="B110" s="24" t="s">
        <v>403</v>
      </c>
      <c r="C110" s="23"/>
      <c r="D110" s="145"/>
      <c r="E110" s="82"/>
      <c r="F110" s="116"/>
      <c r="G110" s="23"/>
      <c r="H110" s="116"/>
      <c r="I110" s="23"/>
      <c r="J110" s="99"/>
      <c r="K110" s="47"/>
      <c r="L110" s="82"/>
      <c r="M110" s="82"/>
      <c r="N110" s="82"/>
      <c r="O110" s="82">
        <f>7950000+2146500</f>
        <v>10096500</v>
      </c>
      <c r="P110" s="47"/>
      <c r="Q110" s="99"/>
      <c r="R110" s="180"/>
      <c r="S110" s="82"/>
      <c r="T110" s="47"/>
      <c r="U110" s="82"/>
      <c r="V110" s="252"/>
      <c r="W110" s="252"/>
      <c r="AA110" s="24" t="s">
        <v>219</v>
      </c>
      <c r="AB110" s="252"/>
      <c r="AD110" s="467">
        <f t="shared" si="21"/>
        <v>0</v>
      </c>
      <c r="AE110" s="82"/>
      <c r="AF110" s="82"/>
      <c r="AG110" s="82"/>
      <c r="AH110" s="82"/>
      <c r="AI110" s="735"/>
      <c r="AJ110" s="792"/>
      <c r="AK110" s="814"/>
    </row>
    <row r="111" spans="1:37" ht="15" hidden="1" x14ac:dyDescent="0.25">
      <c r="A111" s="24"/>
      <c r="B111" s="54" t="s">
        <v>389</v>
      </c>
      <c r="C111" s="23"/>
      <c r="D111" s="145"/>
      <c r="E111" s="82"/>
      <c r="F111" s="116"/>
      <c r="G111" s="23"/>
      <c r="H111" s="116"/>
      <c r="I111" s="23"/>
      <c r="J111" s="99"/>
      <c r="K111" s="47"/>
      <c r="L111" s="82"/>
      <c r="M111" s="82"/>
      <c r="N111" s="82"/>
      <c r="O111" s="82">
        <v>396240</v>
      </c>
      <c r="P111" s="47"/>
      <c r="Q111" s="99"/>
      <c r="R111" s="180"/>
      <c r="S111" s="82"/>
      <c r="T111" s="47"/>
      <c r="U111" s="82"/>
      <c r="V111" s="252"/>
      <c r="W111" s="336"/>
      <c r="X111" s="337"/>
      <c r="AA111" s="24"/>
      <c r="AB111" s="336"/>
      <c r="AC111" s="337"/>
      <c r="AD111" s="467">
        <f t="shared" si="21"/>
        <v>0</v>
      </c>
      <c r="AE111" s="82"/>
      <c r="AF111" s="82"/>
      <c r="AG111" s="82"/>
      <c r="AH111" s="82"/>
      <c r="AI111" s="735"/>
      <c r="AJ111" s="792"/>
      <c r="AK111" s="814"/>
    </row>
    <row r="112" spans="1:37" ht="15" x14ac:dyDescent="0.25">
      <c r="A112" s="185" t="s">
        <v>219</v>
      </c>
      <c r="B112" s="96" t="s">
        <v>432</v>
      </c>
      <c r="C112" s="23">
        <v>4000000</v>
      </c>
      <c r="D112" s="145"/>
      <c r="E112" s="82"/>
      <c r="F112" s="115">
        <f t="shared" ref="F112:F143" si="22">C112-G112</f>
        <v>0</v>
      </c>
      <c r="G112" s="23">
        <v>4000000</v>
      </c>
      <c r="H112" s="116">
        <f>C112-I112</f>
        <v>1500000</v>
      </c>
      <c r="I112" s="23">
        <v>2500000</v>
      </c>
      <c r="J112" s="99">
        <f t="shared" ref="J112" si="23">F112+G112</f>
        <v>4000000</v>
      </c>
      <c r="K112" s="47"/>
      <c r="L112" s="82"/>
      <c r="M112" s="82"/>
      <c r="N112" s="82">
        <f>F112</f>
        <v>0</v>
      </c>
      <c r="O112" s="82"/>
      <c r="P112" s="99">
        <v>4000000</v>
      </c>
      <c r="Q112" s="47"/>
      <c r="R112" s="180">
        <f t="shared" ref="R112:R144" si="24">C112-S112</f>
        <v>6000000</v>
      </c>
      <c r="S112" s="82">
        <v>-2000000</v>
      </c>
      <c r="T112" s="47"/>
      <c r="U112" s="82"/>
      <c r="V112" s="82"/>
      <c r="W112" s="96" t="s">
        <v>432</v>
      </c>
      <c r="X112" s="239">
        <v>3000000</v>
      </c>
      <c r="Y112" s="239">
        <f>X112</f>
        <v>3000000</v>
      </c>
      <c r="Z112" s="239"/>
      <c r="AA112" s="78" t="s">
        <v>219</v>
      </c>
      <c r="AB112" s="96"/>
      <c r="AC112" s="462">
        <v>100000000</v>
      </c>
      <c r="AD112" s="468">
        <f>AC112-10000000</f>
        <v>90000000</v>
      </c>
      <c r="AE112" s="82">
        <v>0</v>
      </c>
      <c r="AF112" s="74" t="s">
        <v>658</v>
      </c>
      <c r="AG112" s="636">
        <v>24552635</v>
      </c>
      <c r="AH112" s="74" t="s">
        <v>661</v>
      </c>
      <c r="AI112" s="736">
        <v>7276212</v>
      </c>
      <c r="AJ112" s="844">
        <v>23315567</v>
      </c>
      <c r="AK112" s="845">
        <v>13454240</v>
      </c>
    </row>
    <row r="113" spans="1:39" ht="15" x14ac:dyDescent="0.25">
      <c r="A113" s="545" t="s">
        <v>219</v>
      </c>
      <c r="B113" s="96" t="s">
        <v>214</v>
      </c>
      <c r="C113" s="63">
        <v>80000000</v>
      </c>
      <c r="D113" s="145">
        <v>1</v>
      </c>
      <c r="E113" s="82"/>
      <c r="F113" s="115">
        <f t="shared" si="22"/>
        <v>80000000</v>
      </c>
      <c r="G113" s="23"/>
      <c r="H113" s="116">
        <f t="shared" ref="H113:H159" si="25">C113-I113</f>
        <v>80000000</v>
      </c>
      <c r="I113" s="23"/>
      <c r="J113" s="99">
        <f t="shared" ref="J113:J138" si="26">F113+G113</f>
        <v>80000000</v>
      </c>
      <c r="K113" s="47"/>
      <c r="L113" s="82"/>
      <c r="M113" s="82"/>
      <c r="N113" s="110">
        <f t="shared" ref="N113:N138" si="27">F113</f>
        <v>80000000</v>
      </c>
      <c r="O113" s="74"/>
      <c r="P113" s="99">
        <v>80000000</v>
      </c>
      <c r="Q113" s="47"/>
      <c r="R113" s="180">
        <f t="shared" si="24"/>
        <v>80000000</v>
      </c>
      <c r="S113" s="82"/>
      <c r="T113" s="47"/>
      <c r="U113" s="82">
        <v>173177221</v>
      </c>
      <c r="V113" s="74">
        <f>(173177221+34394692)</f>
        <v>207571913</v>
      </c>
      <c r="W113" s="96"/>
      <c r="Y113" s="239">
        <f t="shared" ref="Y113:Z123" si="28">X113</f>
        <v>0</v>
      </c>
      <c r="Z113" s="239">
        <f t="shared" si="28"/>
        <v>0</v>
      </c>
      <c r="AA113" s="48" t="s">
        <v>219</v>
      </c>
      <c r="AB113" s="96" t="s">
        <v>591</v>
      </c>
      <c r="AC113" s="463">
        <v>43000000</v>
      </c>
      <c r="AD113" s="469">
        <f t="shared" si="21"/>
        <v>43000000</v>
      </c>
      <c r="AE113" s="82">
        <v>3000000</v>
      </c>
      <c r="AF113" s="74" t="s">
        <v>659</v>
      </c>
      <c r="AG113" s="636">
        <v>4975754</v>
      </c>
      <c r="AH113" s="74" t="s">
        <v>787</v>
      </c>
      <c r="AI113" s="736">
        <v>4000000</v>
      </c>
      <c r="AJ113" s="844"/>
      <c r="AK113" s="845">
        <v>6200000</v>
      </c>
      <c r="AL113" s="742" t="s">
        <v>790</v>
      </c>
    </row>
    <row r="114" spans="1:39" ht="15" x14ac:dyDescent="0.25">
      <c r="A114" s="545" t="s">
        <v>219</v>
      </c>
      <c r="B114" s="96" t="s">
        <v>270</v>
      </c>
      <c r="C114" s="63">
        <v>15000000</v>
      </c>
      <c r="D114" s="145">
        <v>2</v>
      </c>
      <c r="E114" s="82"/>
      <c r="F114" s="115">
        <f t="shared" si="22"/>
        <v>0</v>
      </c>
      <c r="G114" s="23">
        <v>15000000</v>
      </c>
      <c r="H114" s="116">
        <f t="shared" si="25"/>
        <v>0</v>
      </c>
      <c r="I114" s="23">
        <v>15000000</v>
      </c>
      <c r="J114" s="99">
        <f t="shared" si="26"/>
        <v>15000000</v>
      </c>
      <c r="K114" s="47"/>
      <c r="L114" s="82"/>
      <c r="M114" s="82"/>
      <c r="N114" s="82">
        <f t="shared" si="27"/>
        <v>0</v>
      </c>
      <c r="O114" s="82"/>
      <c r="P114" s="99">
        <v>15000000</v>
      </c>
      <c r="Q114" s="47"/>
      <c r="R114" s="180">
        <f t="shared" si="24"/>
        <v>0</v>
      </c>
      <c r="S114" s="82">
        <v>15000000</v>
      </c>
      <c r="T114" s="47"/>
      <c r="U114" s="82"/>
      <c r="V114" s="82"/>
      <c r="W114" s="96"/>
      <c r="Y114" s="239">
        <f t="shared" si="28"/>
        <v>0</v>
      </c>
      <c r="Z114" s="239">
        <f t="shared" si="28"/>
        <v>0</v>
      </c>
      <c r="AA114" s="48" t="s">
        <v>219</v>
      </c>
      <c r="AB114" s="96" t="s">
        <v>635</v>
      </c>
      <c r="AC114" s="462">
        <v>17000000</v>
      </c>
      <c r="AD114" s="468">
        <f t="shared" si="21"/>
        <v>17000000</v>
      </c>
      <c r="AE114" s="82">
        <v>15000000</v>
      </c>
      <c r="AF114" s="74" t="s">
        <v>660</v>
      </c>
      <c r="AG114" s="636">
        <v>3516943</v>
      </c>
      <c r="AH114" s="711" t="s">
        <v>691</v>
      </c>
      <c r="AI114" s="736">
        <v>272121093</v>
      </c>
      <c r="AJ114" s="846"/>
      <c r="AK114" s="847"/>
    </row>
    <row r="115" spans="1:39" ht="15" x14ac:dyDescent="0.25">
      <c r="A115" s="545"/>
      <c r="B115" s="96"/>
      <c r="C115" s="63"/>
      <c r="D115" s="145"/>
      <c r="E115" s="82"/>
      <c r="F115" s="115"/>
      <c r="G115" s="23"/>
      <c r="H115" s="116"/>
      <c r="I115" s="23"/>
      <c r="J115" s="99"/>
      <c r="K115" s="47"/>
      <c r="L115" s="82"/>
      <c r="M115" s="82"/>
      <c r="N115" s="82"/>
      <c r="O115" s="82"/>
      <c r="P115" s="99"/>
      <c r="Q115" s="47"/>
      <c r="R115" s="180"/>
      <c r="S115" s="82"/>
      <c r="T115" s="47"/>
      <c r="U115" s="82"/>
      <c r="V115" s="82"/>
      <c r="W115" s="96"/>
      <c r="Y115" s="239"/>
      <c r="Z115" s="239"/>
      <c r="AA115" s="48"/>
      <c r="AB115" s="96"/>
      <c r="AC115" s="462"/>
      <c r="AD115" s="468"/>
      <c r="AE115" s="82"/>
      <c r="AF115" s="74" t="s">
        <v>694</v>
      </c>
      <c r="AG115" s="636">
        <v>1137495</v>
      </c>
      <c r="AH115" s="711" t="s">
        <v>727</v>
      </c>
      <c r="AI115" s="736">
        <f>384379000</f>
        <v>384379000</v>
      </c>
      <c r="AJ115" s="846"/>
      <c r="AK115" s="847"/>
    </row>
    <row r="116" spans="1:39" ht="15" x14ac:dyDescent="0.25">
      <c r="A116" s="545" t="s">
        <v>219</v>
      </c>
      <c r="B116" s="96" t="s">
        <v>318</v>
      </c>
      <c r="C116" s="63">
        <v>8000000</v>
      </c>
      <c r="D116" s="145">
        <v>2</v>
      </c>
      <c r="E116" s="82"/>
      <c r="F116" s="115">
        <f t="shared" si="22"/>
        <v>6000000</v>
      </c>
      <c r="G116" s="23">
        <v>2000000</v>
      </c>
      <c r="H116" s="116">
        <f t="shared" si="25"/>
        <v>4000000</v>
      </c>
      <c r="I116" s="23">
        <v>4000000</v>
      </c>
      <c r="J116" s="99">
        <f t="shared" si="26"/>
        <v>8000000</v>
      </c>
      <c r="K116" s="47"/>
      <c r="L116" s="82"/>
      <c r="M116" s="82"/>
      <c r="N116" s="110">
        <v>7000000</v>
      </c>
      <c r="O116" s="74"/>
      <c r="P116" s="99">
        <v>8000000</v>
      </c>
      <c r="Q116" s="47"/>
      <c r="R116" s="180">
        <f t="shared" si="24"/>
        <v>8000000</v>
      </c>
      <c r="S116" s="82"/>
      <c r="T116" s="47"/>
      <c r="U116" s="82">
        <v>1801050</v>
      </c>
      <c r="V116" s="82">
        <v>1801050</v>
      </c>
      <c r="W116" s="96" t="s">
        <v>318</v>
      </c>
      <c r="X116" s="239">
        <v>8000000</v>
      </c>
      <c r="Y116" s="239">
        <f t="shared" si="28"/>
        <v>8000000</v>
      </c>
      <c r="Z116" s="239">
        <v>3500000</v>
      </c>
      <c r="AA116" s="48" t="s">
        <v>219</v>
      </c>
      <c r="AB116" s="96"/>
      <c r="AC116" s="462">
        <v>8500000</v>
      </c>
      <c r="AD116" s="468">
        <f t="shared" si="21"/>
        <v>8500000</v>
      </c>
      <c r="AE116" s="82">
        <v>0</v>
      </c>
      <c r="AF116" s="74" t="s">
        <v>661</v>
      </c>
      <c r="AG116" s="636">
        <f>15638741-1121560-4357181+3900000</f>
        <v>14060000</v>
      </c>
      <c r="AH116" s="711" t="s">
        <v>693</v>
      </c>
      <c r="AI116" s="736">
        <f>221214964</f>
        <v>221214964</v>
      </c>
      <c r="AJ116" s="846"/>
      <c r="AK116" s="847"/>
    </row>
    <row r="117" spans="1:39" ht="15" x14ac:dyDescent="0.25">
      <c r="A117" s="545" t="s">
        <v>219</v>
      </c>
      <c r="B117" s="96" t="s">
        <v>215</v>
      </c>
      <c r="C117" s="63">
        <v>3000000</v>
      </c>
      <c r="D117" s="145">
        <v>3</v>
      </c>
      <c r="E117" s="82"/>
      <c r="F117" s="115">
        <f t="shared" si="22"/>
        <v>0</v>
      </c>
      <c r="G117" s="23">
        <v>3000000</v>
      </c>
      <c r="H117" s="116">
        <f t="shared" si="25"/>
        <v>3000000</v>
      </c>
      <c r="I117" s="23"/>
      <c r="J117" s="99">
        <f t="shared" si="26"/>
        <v>3000000</v>
      </c>
      <c r="K117" s="47"/>
      <c r="L117" s="82"/>
      <c r="M117" s="82"/>
      <c r="N117" s="82">
        <f t="shared" si="27"/>
        <v>0</v>
      </c>
      <c r="O117" s="82"/>
      <c r="P117" s="99">
        <v>3000000</v>
      </c>
      <c r="Q117" s="47"/>
      <c r="R117" s="180">
        <f t="shared" si="24"/>
        <v>3000000</v>
      </c>
      <c r="S117" s="82"/>
      <c r="T117" s="47"/>
      <c r="U117" s="82"/>
      <c r="V117" s="82"/>
      <c r="W117" s="96"/>
      <c r="Y117" s="239">
        <f t="shared" si="28"/>
        <v>0</v>
      </c>
      <c r="Z117" s="239">
        <f t="shared" si="28"/>
        <v>0</v>
      </c>
      <c r="AA117" s="48" t="s">
        <v>219</v>
      </c>
      <c r="AB117" s="96"/>
      <c r="AC117" s="462">
        <v>17000000</v>
      </c>
      <c r="AD117" s="463">
        <f>AC117+7500000</f>
        <v>24500000</v>
      </c>
      <c r="AE117" s="82">
        <v>0</v>
      </c>
      <c r="AF117" s="74" t="s">
        <v>662</v>
      </c>
      <c r="AG117" s="636">
        <f>15500000+6000000+9000000</f>
        <v>30500000</v>
      </c>
      <c r="AH117" s="711" t="s">
        <v>726</v>
      </c>
      <c r="AI117" s="737">
        <v>62093814</v>
      </c>
      <c r="AJ117" s="846"/>
      <c r="AK117" s="848"/>
    </row>
    <row r="118" spans="1:39" ht="15.75" x14ac:dyDescent="0.25">
      <c r="A118" s="545" t="s">
        <v>219</v>
      </c>
      <c r="B118" s="96" t="s">
        <v>476</v>
      </c>
      <c r="C118" s="63">
        <v>3000000</v>
      </c>
      <c r="D118" s="145">
        <v>2</v>
      </c>
      <c r="E118" s="82"/>
      <c r="F118" s="115">
        <f t="shared" si="22"/>
        <v>1000000</v>
      </c>
      <c r="G118" s="23">
        <v>2000000</v>
      </c>
      <c r="H118" s="116">
        <f t="shared" si="25"/>
        <v>1500000</v>
      </c>
      <c r="I118" s="23">
        <v>1500000</v>
      </c>
      <c r="J118" s="99">
        <f t="shared" si="26"/>
        <v>3000000</v>
      </c>
      <c r="K118" s="47"/>
      <c r="L118" s="82"/>
      <c r="M118" s="82"/>
      <c r="N118" s="110">
        <f t="shared" si="27"/>
        <v>1000000</v>
      </c>
      <c r="O118" s="74"/>
      <c r="P118" s="99">
        <v>3000000</v>
      </c>
      <c r="Q118" s="47"/>
      <c r="R118" s="180">
        <f t="shared" si="24"/>
        <v>3000000</v>
      </c>
      <c r="S118" s="82"/>
      <c r="T118" s="24" t="s">
        <v>433</v>
      </c>
      <c r="U118" s="82">
        <v>575895</v>
      </c>
      <c r="V118" s="82">
        <f>(575895+240000)</f>
        <v>815895</v>
      </c>
      <c r="W118" s="96" t="s">
        <v>476</v>
      </c>
      <c r="X118" s="239">
        <v>4000000</v>
      </c>
      <c r="Y118" s="239">
        <f t="shared" si="28"/>
        <v>4000000</v>
      </c>
      <c r="Z118" s="239"/>
      <c r="AA118" s="48" t="s">
        <v>219</v>
      </c>
      <c r="AB118" s="96"/>
      <c r="AC118" s="462">
        <v>3000000</v>
      </c>
      <c r="AD118" s="468">
        <f t="shared" si="21"/>
        <v>3000000</v>
      </c>
      <c r="AE118" s="82"/>
      <c r="AF118" s="74" t="s">
        <v>691</v>
      </c>
      <c r="AG118" s="636">
        <v>283006093</v>
      </c>
      <c r="AH118" s="190" t="s">
        <v>788</v>
      </c>
      <c r="AI118" s="692">
        <v>300000</v>
      </c>
      <c r="AJ118" s="849">
        <v>300000</v>
      </c>
      <c r="AK118" s="848">
        <v>3300000</v>
      </c>
      <c r="AL118" s="742" t="s">
        <v>790</v>
      </c>
      <c r="AM118" s="688"/>
    </row>
    <row r="119" spans="1:39" ht="15.75" x14ac:dyDescent="0.25">
      <c r="A119" s="545" t="s">
        <v>219</v>
      </c>
      <c r="B119" s="96" t="s">
        <v>434</v>
      </c>
      <c r="C119" s="63">
        <v>10000000</v>
      </c>
      <c r="D119" s="145">
        <v>3</v>
      </c>
      <c r="E119" s="82"/>
      <c r="F119" s="115">
        <f t="shared" si="22"/>
        <v>10000000</v>
      </c>
      <c r="G119" s="23"/>
      <c r="H119" s="116">
        <f t="shared" si="25"/>
        <v>10000000</v>
      </c>
      <c r="I119" s="23"/>
      <c r="J119" s="99">
        <f t="shared" si="26"/>
        <v>10000000</v>
      </c>
      <c r="K119" s="47"/>
      <c r="L119" s="82"/>
      <c r="M119" s="82"/>
      <c r="N119" s="110">
        <f t="shared" si="27"/>
        <v>10000000</v>
      </c>
      <c r="O119" s="74"/>
      <c r="P119" s="99">
        <v>10000000</v>
      </c>
      <c r="Q119" s="47"/>
      <c r="R119" s="180">
        <f t="shared" si="24"/>
        <v>10000000</v>
      </c>
      <c r="S119" s="82"/>
      <c r="T119" s="47"/>
      <c r="U119" s="82"/>
      <c r="V119" s="82"/>
      <c r="W119" s="96" t="s">
        <v>434</v>
      </c>
      <c r="X119" s="239">
        <v>10000000</v>
      </c>
      <c r="Y119" s="239">
        <f t="shared" si="28"/>
        <v>10000000</v>
      </c>
      <c r="Z119" s="239"/>
      <c r="AA119" s="48" t="s">
        <v>219</v>
      </c>
      <c r="AB119" s="96" t="s">
        <v>576</v>
      </c>
      <c r="AC119" s="239">
        <v>8000000</v>
      </c>
      <c r="AD119" s="469">
        <f>AC119-3000000</f>
        <v>5000000</v>
      </c>
      <c r="AE119" s="82">
        <v>3000000</v>
      </c>
      <c r="AF119" s="74" t="s">
        <v>692</v>
      </c>
      <c r="AG119" s="82">
        <v>0</v>
      </c>
      <c r="AH119" s="190" t="s">
        <v>789</v>
      </c>
      <c r="AI119" s="692">
        <v>1300000</v>
      </c>
      <c r="AJ119" s="849">
        <f>1950000+800000</f>
        <v>2750000</v>
      </c>
      <c r="AK119" s="850">
        <v>5400000</v>
      </c>
      <c r="AL119" s="742" t="s">
        <v>790</v>
      </c>
      <c r="AM119" s="689"/>
    </row>
    <row r="120" spans="1:39" ht="15.75" x14ac:dyDescent="0.25">
      <c r="A120" s="545" t="s">
        <v>219</v>
      </c>
      <c r="B120" s="96" t="s">
        <v>217</v>
      </c>
      <c r="C120" s="63">
        <v>5000000</v>
      </c>
      <c r="D120" s="145">
        <v>2</v>
      </c>
      <c r="E120" s="82"/>
      <c r="F120" s="115">
        <f t="shared" si="22"/>
        <v>1000000</v>
      </c>
      <c r="G120" s="23">
        <v>4000000</v>
      </c>
      <c r="H120" s="116">
        <f t="shared" si="25"/>
        <v>1000000</v>
      </c>
      <c r="I120" s="23">
        <v>4000000</v>
      </c>
      <c r="J120" s="99">
        <f t="shared" si="26"/>
        <v>5000000</v>
      </c>
      <c r="K120" s="47"/>
      <c r="L120" s="82"/>
      <c r="M120" s="82"/>
      <c r="N120" s="82">
        <f t="shared" si="27"/>
        <v>1000000</v>
      </c>
      <c r="O120" s="82"/>
      <c r="P120" s="99">
        <v>5000000</v>
      </c>
      <c r="Q120" s="47"/>
      <c r="R120" s="180">
        <f t="shared" si="24"/>
        <v>5000000</v>
      </c>
      <c r="S120" s="82"/>
      <c r="T120" s="47"/>
      <c r="U120" s="82"/>
      <c r="V120" s="82"/>
      <c r="W120" s="96" t="s">
        <v>217</v>
      </c>
      <c r="X120" s="239">
        <v>25000000</v>
      </c>
      <c r="Y120" s="239">
        <f t="shared" si="28"/>
        <v>25000000</v>
      </c>
      <c r="Z120" s="239">
        <v>5000000</v>
      </c>
      <c r="AA120" s="48" t="s">
        <v>219</v>
      </c>
      <c r="AB120" s="96"/>
      <c r="AC120" s="239">
        <v>762762</v>
      </c>
      <c r="AD120" s="467">
        <f t="shared" si="21"/>
        <v>762762</v>
      </c>
      <c r="AE120" s="82">
        <v>0</v>
      </c>
      <c r="AF120" s="74" t="s">
        <v>693</v>
      </c>
      <c r="AG120" s="82">
        <v>0</v>
      </c>
      <c r="AH120" s="190" t="s">
        <v>791</v>
      </c>
      <c r="AI120" s="692"/>
      <c r="AJ120" s="849">
        <f>600000-600000</f>
        <v>0</v>
      </c>
      <c r="AK120" s="848">
        <v>820000</v>
      </c>
      <c r="AL120" s="742" t="s">
        <v>790</v>
      </c>
      <c r="AM120" s="689"/>
    </row>
    <row r="121" spans="1:39" ht="15" x14ac:dyDescent="0.25">
      <c r="A121" s="545" t="s">
        <v>219</v>
      </c>
      <c r="B121" s="96" t="s">
        <v>218</v>
      </c>
      <c r="C121" s="63">
        <v>10000000</v>
      </c>
      <c r="D121" s="145">
        <v>3</v>
      </c>
      <c r="E121" s="82"/>
      <c r="F121" s="115">
        <f t="shared" si="22"/>
        <v>0</v>
      </c>
      <c r="G121" s="23">
        <v>10000000</v>
      </c>
      <c r="H121" s="116">
        <f t="shared" si="25"/>
        <v>0</v>
      </c>
      <c r="I121" s="23">
        <v>10000000</v>
      </c>
      <c r="J121" s="99">
        <f t="shared" si="26"/>
        <v>10000000</v>
      </c>
      <c r="K121" s="47"/>
      <c r="L121" s="82"/>
      <c r="M121" s="82"/>
      <c r="N121" s="110">
        <f t="shared" si="27"/>
        <v>0</v>
      </c>
      <c r="O121" s="74"/>
      <c r="P121" s="99">
        <v>10000000</v>
      </c>
      <c r="Q121" s="47"/>
      <c r="R121" s="180">
        <f t="shared" si="24"/>
        <v>0</v>
      </c>
      <c r="S121" s="82">
        <v>10000000</v>
      </c>
      <c r="T121" s="24" t="s">
        <v>435</v>
      </c>
      <c r="U121" s="82"/>
      <c r="V121" s="82"/>
      <c r="W121" s="96" t="s">
        <v>218</v>
      </c>
      <c r="X121" s="239">
        <v>10000000</v>
      </c>
      <c r="Y121" s="239">
        <f t="shared" si="28"/>
        <v>10000000</v>
      </c>
      <c r="Z121" s="239"/>
      <c r="AA121" s="48" t="s">
        <v>219</v>
      </c>
      <c r="AB121" s="96"/>
      <c r="AC121" s="239">
        <v>5000000</v>
      </c>
      <c r="AD121" s="467">
        <v>800000</v>
      </c>
      <c r="AE121" s="82">
        <v>0</v>
      </c>
      <c r="AF121" s="74" t="s">
        <v>695</v>
      </c>
      <c r="AG121" s="74"/>
      <c r="AH121" s="190" t="s">
        <v>792</v>
      </c>
      <c r="AI121" s="692">
        <v>290000</v>
      </c>
      <c r="AJ121" s="849">
        <v>1700000</v>
      </c>
      <c r="AK121" s="848">
        <v>495000</v>
      </c>
      <c r="AL121" s="742" t="s">
        <v>790</v>
      </c>
    </row>
    <row r="122" spans="1:39" ht="15" x14ac:dyDescent="0.25">
      <c r="A122" s="545" t="s">
        <v>219</v>
      </c>
      <c r="B122" s="96" t="s">
        <v>280</v>
      </c>
      <c r="C122" s="63">
        <v>600000</v>
      </c>
      <c r="D122" s="145">
        <v>3</v>
      </c>
      <c r="E122" s="82"/>
      <c r="F122" s="115">
        <f t="shared" si="22"/>
        <v>0</v>
      </c>
      <c r="G122" s="157">
        <v>600000</v>
      </c>
      <c r="H122" s="116">
        <f t="shared" si="25"/>
        <v>600000</v>
      </c>
      <c r="I122" s="23"/>
      <c r="J122" s="99">
        <f t="shared" si="26"/>
        <v>600000</v>
      </c>
      <c r="K122" s="47"/>
      <c r="L122" s="82"/>
      <c r="M122" s="82"/>
      <c r="N122" s="82">
        <f t="shared" si="27"/>
        <v>0</v>
      </c>
      <c r="O122" s="82"/>
      <c r="P122" s="99">
        <v>600000</v>
      </c>
      <c r="Q122" s="47"/>
      <c r="R122" s="180">
        <f t="shared" si="24"/>
        <v>600000</v>
      </c>
      <c r="S122" s="82"/>
      <c r="T122" s="47"/>
      <c r="U122" s="82"/>
      <c r="V122" s="82"/>
      <c r="W122" s="96" t="s">
        <v>280</v>
      </c>
      <c r="X122" s="239">
        <v>600000</v>
      </c>
      <c r="Y122" s="239">
        <f t="shared" si="28"/>
        <v>600000</v>
      </c>
      <c r="Z122" s="239"/>
      <c r="AA122" s="48" t="s">
        <v>219</v>
      </c>
      <c r="AB122" s="96" t="s">
        <v>577</v>
      </c>
      <c r="AC122" s="239">
        <v>1500000</v>
      </c>
      <c r="AD122" s="467">
        <f t="shared" si="21"/>
        <v>1500000</v>
      </c>
      <c r="AE122" s="82">
        <v>5000000</v>
      </c>
      <c r="AF122" s="82"/>
      <c r="AG122" s="82"/>
      <c r="AH122" s="190" t="s">
        <v>757</v>
      </c>
      <c r="AI122" s="692"/>
      <c r="AJ122" s="849"/>
      <c r="AK122" s="850">
        <v>10000000</v>
      </c>
    </row>
    <row r="123" spans="1:39" ht="15" x14ac:dyDescent="0.25">
      <c r="A123" s="545" t="s">
        <v>219</v>
      </c>
      <c r="B123" s="96" t="s">
        <v>316</v>
      </c>
      <c r="C123" s="63">
        <v>15000000</v>
      </c>
      <c r="D123" s="145">
        <v>1</v>
      </c>
      <c r="E123" s="82"/>
      <c r="F123" s="115">
        <f t="shared" si="22"/>
        <v>1500000</v>
      </c>
      <c r="G123" s="23">
        <v>13500000</v>
      </c>
      <c r="H123" s="116">
        <f t="shared" si="25"/>
        <v>1500000</v>
      </c>
      <c r="I123" s="23">
        <v>13500000</v>
      </c>
      <c r="J123" s="99">
        <f t="shared" si="26"/>
        <v>15000000</v>
      </c>
      <c r="K123" s="47"/>
      <c r="L123" s="82"/>
      <c r="M123" s="82"/>
      <c r="N123" s="82">
        <f t="shared" si="27"/>
        <v>1500000</v>
      </c>
      <c r="O123" s="82"/>
      <c r="P123" s="99">
        <v>15000000</v>
      </c>
      <c r="Q123" s="47"/>
      <c r="R123" s="180">
        <f t="shared" si="24"/>
        <v>1500000</v>
      </c>
      <c r="S123" s="82">
        <v>13500000</v>
      </c>
      <c r="T123" s="24" t="s">
        <v>436</v>
      </c>
      <c r="U123" s="82"/>
      <c r="V123" s="82"/>
      <c r="W123" s="96" t="s">
        <v>316</v>
      </c>
      <c r="X123" s="239">
        <v>8000000</v>
      </c>
      <c r="Y123" s="239">
        <f t="shared" si="28"/>
        <v>8000000</v>
      </c>
      <c r="Z123" s="239">
        <v>1000000</v>
      </c>
      <c r="AA123" s="48" t="s">
        <v>219</v>
      </c>
      <c r="AB123" s="96" t="s">
        <v>622</v>
      </c>
      <c r="AC123" s="239">
        <v>15000000</v>
      </c>
      <c r="AD123" s="467">
        <f>AC123-5000000</f>
        <v>10000000</v>
      </c>
      <c r="AE123" s="82">
        <v>10000000</v>
      </c>
      <c r="AF123" s="82"/>
      <c r="AG123" s="82"/>
      <c r="AH123" s="767" t="s">
        <v>763</v>
      </c>
      <c r="AI123" s="692"/>
      <c r="AJ123" s="849">
        <f>5100000-1500000</f>
        <v>3600000</v>
      </c>
      <c r="AK123" s="848"/>
    </row>
    <row r="124" spans="1:39" ht="15" x14ac:dyDescent="0.25">
      <c r="A124" s="545" t="s">
        <v>219</v>
      </c>
      <c r="B124" s="96" t="s">
        <v>350</v>
      </c>
      <c r="C124" s="63">
        <v>120000000</v>
      </c>
      <c r="D124" s="145">
        <v>2</v>
      </c>
      <c r="E124" s="82"/>
      <c r="F124" s="115">
        <f t="shared" si="22"/>
        <v>120000000</v>
      </c>
      <c r="G124" s="23"/>
      <c r="H124" s="116">
        <f t="shared" si="25"/>
        <v>120000000</v>
      </c>
      <c r="I124" s="23"/>
      <c r="J124" s="99">
        <f t="shared" si="26"/>
        <v>120000000</v>
      </c>
      <c r="K124" s="47"/>
      <c r="L124" s="82"/>
      <c r="M124" s="82"/>
      <c r="N124" s="110">
        <f t="shared" si="27"/>
        <v>120000000</v>
      </c>
      <c r="O124" s="74"/>
      <c r="P124" s="99">
        <v>120000000</v>
      </c>
      <c r="Q124" s="24"/>
      <c r="R124" s="180">
        <f t="shared" si="24"/>
        <v>120000000</v>
      </c>
      <c r="S124" s="82"/>
      <c r="T124" s="47"/>
      <c r="U124" s="82">
        <f>34931396+25471815*0.27+173355+421005</f>
        <v>42403146.049999997</v>
      </c>
      <c r="V124" s="82">
        <f>34931396+25471815*0.27+173355+421005</f>
        <v>42403146.049999997</v>
      </c>
      <c r="W124" s="96" t="s">
        <v>350</v>
      </c>
      <c r="X124" s="239">
        <v>281000000</v>
      </c>
      <c r="Y124" s="239">
        <f>256006618*1.27-113222215-76415446</f>
        <v>135490743.86000001</v>
      </c>
      <c r="Z124" s="239">
        <f>256006618*1.27-113222215-76415446</f>
        <v>135490743.86000001</v>
      </c>
      <c r="AA124" s="48" t="s">
        <v>219</v>
      </c>
      <c r="AB124" s="96" t="s">
        <v>578</v>
      </c>
      <c r="AC124" s="239">
        <v>6000000</v>
      </c>
      <c r="AD124" s="467">
        <f t="shared" si="21"/>
        <v>6000000</v>
      </c>
      <c r="AE124" s="82">
        <v>6000000</v>
      </c>
      <c r="AF124" s="82"/>
      <c r="AG124" s="82"/>
      <c r="AH124" s="190" t="s">
        <v>717</v>
      </c>
      <c r="AI124" s="692">
        <v>200000</v>
      </c>
      <c r="AJ124" s="849">
        <v>200000</v>
      </c>
      <c r="AK124" s="848"/>
    </row>
    <row r="125" spans="1:39" x14ac:dyDescent="0.2">
      <c r="A125" s="545" t="s">
        <v>219</v>
      </c>
      <c r="B125" s="47" t="s">
        <v>274</v>
      </c>
      <c r="C125" s="23">
        <v>600000</v>
      </c>
      <c r="D125" s="145">
        <v>1</v>
      </c>
      <c r="E125" s="82"/>
      <c r="F125" s="115">
        <f t="shared" si="22"/>
        <v>600000</v>
      </c>
      <c r="G125" s="23"/>
      <c r="H125" s="116">
        <f t="shared" si="25"/>
        <v>600000</v>
      </c>
      <c r="I125" s="23"/>
      <c r="J125" s="99">
        <f t="shared" si="26"/>
        <v>600000</v>
      </c>
      <c r="K125" s="47"/>
      <c r="L125" s="82"/>
      <c r="M125" s="82"/>
      <c r="N125" s="110">
        <f t="shared" si="27"/>
        <v>600000</v>
      </c>
      <c r="O125" s="74"/>
      <c r="P125" s="99">
        <v>600000</v>
      </c>
      <c r="Q125" s="47"/>
      <c r="R125" s="180">
        <f t="shared" si="24"/>
        <v>600000</v>
      </c>
      <c r="S125" s="82"/>
      <c r="T125" s="47"/>
      <c r="U125" s="82"/>
      <c r="V125" s="82"/>
      <c r="W125" s="47"/>
      <c r="Y125" s="239"/>
      <c r="Z125" s="239"/>
      <c r="AA125" s="48" t="s">
        <v>219</v>
      </c>
      <c r="AB125" s="24" t="s">
        <v>579</v>
      </c>
      <c r="AC125" s="239">
        <v>40000000</v>
      </c>
      <c r="AD125" s="467">
        <f t="shared" si="21"/>
        <v>40000000</v>
      </c>
      <c r="AE125" s="467"/>
      <c r="AF125" s="467"/>
      <c r="AG125" s="467"/>
      <c r="AH125" s="190" t="s">
        <v>718</v>
      </c>
      <c r="AI125" s="692">
        <v>2400000</v>
      </c>
      <c r="AJ125" s="849">
        <v>1500000</v>
      </c>
      <c r="AK125" s="848"/>
    </row>
    <row r="126" spans="1:39" x14ac:dyDescent="0.2">
      <c r="A126" s="545" t="s">
        <v>219</v>
      </c>
      <c r="B126" s="47" t="s">
        <v>271</v>
      </c>
      <c r="C126" s="23">
        <f>5464310*1.27</f>
        <v>6939673.7000000002</v>
      </c>
      <c r="D126" s="145">
        <v>1</v>
      </c>
      <c r="E126" s="82"/>
      <c r="F126" s="115">
        <f t="shared" si="22"/>
        <v>6939673.7000000002</v>
      </c>
      <c r="G126" s="23"/>
      <c r="H126" s="116">
        <f t="shared" si="25"/>
        <v>6939673.7000000002</v>
      </c>
      <c r="I126" s="23"/>
      <c r="J126" s="99">
        <f t="shared" si="26"/>
        <v>6939673.7000000002</v>
      </c>
      <c r="K126" s="47"/>
      <c r="L126" s="82"/>
      <c r="M126" s="82"/>
      <c r="N126" s="110">
        <f t="shared" si="27"/>
        <v>6939673.7000000002</v>
      </c>
      <c r="O126" s="74"/>
      <c r="P126" s="99">
        <v>6939673.7000000002</v>
      </c>
      <c r="Q126" s="47"/>
      <c r="R126" s="180">
        <f t="shared" si="24"/>
        <v>6939673.7000000002</v>
      </c>
      <c r="S126" s="82"/>
      <c r="T126" s="47"/>
      <c r="U126" s="82">
        <f>564431*1.27</f>
        <v>716827.37</v>
      </c>
      <c r="V126" s="82">
        <f>564431*1.27+783520</f>
        <v>1500347.37</v>
      </c>
      <c r="W126" s="47"/>
      <c r="Y126" s="239"/>
      <c r="Z126" s="239"/>
      <c r="AA126" s="48" t="s">
        <v>219</v>
      </c>
      <c r="AB126" s="24" t="s">
        <v>589</v>
      </c>
      <c r="AC126" s="239">
        <v>4000000</v>
      </c>
      <c r="AD126" s="467">
        <f>AC126-2000000</f>
        <v>2000000</v>
      </c>
      <c r="AE126" s="82">
        <v>2000000</v>
      </c>
      <c r="AF126" s="82"/>
      <c r="AG126" s="82"/>
      <c r="AH126" s="190" t="s">
        <v>793</v>
      </c>
      <c r="AI126" s="692">
        <v>160000</v>
      </c>
      <c r="AJ126" s="849"/>
      <c r="AK126" s="848"/>
    </row>
    <row r="127" spans="1:39" x14ac:dyDescent="0.2">
      <c r="A127" s="545" t="s">
        <v>219</v>
      </c>
      <c r="B127" s="24" t="s">
        <v>491</v>
      </c>
      <c r="C127" s="23">
        <v>58308978</v>
      </c>
      <c r="D127" s="145">
        <v>1</v>
      </c>
      <c r="E127" s="82"/>
      <c r="F127" s="115">
        <f t="shared" si="22"/>
        <v>58308978</v>
      </c>
      <c r="G127" s="23"/>
      <c r="H127" s="116">
        <f t="shared" si="25"/>
        <v>58308978</v>
      </c>
      <c r="I127" s="23"/>
      <c r="J127" s="99">
        <f t="shared" si="26"/>
        <v>58308978</v>
      </c>
      <c r="K127" s="47"/>
      <c r="L127" s="82"/>
      <c r="M127" s="82"/>
      <c r="N127" s="110">
        <f t="shared" si="27"/>
        <v>58308978</v>
      </c>
      <c r="O127" s="74"/>
      <c r="P127" s="99">
        <v>58308978</v>
      </c>
      <c r="Q127" s="47"/>
      <c r="R127" s="180">
        <f t="shared" si="24"/>
        <v>58308978</v>
      </c>
      <c r="S127" s="82"/>
      <c r="T127" s="47"/>
      <c r="U127" s="82">
        <f>35373770+34431770*0.27</f>
        <v>44670347.899999999</v>
      </c>
      <c r="V127" s="82">
        <f>35373770+34431770*0.27</f>
        <v>44670347.899999999</v>
      </c>
      <c r="W127" s="24" t="s">
        <v>536</v>
      </c>
      <c r="X127" s="239">
        <v>8000000</v>
      </c>
      <c r="Y127" s="239">
        <v>8000000</v>
      </c>
      <c r="Z127" s="239">
        <v>8000000</v>
      </c>
      <c r="AA127" s="48" t="s">
        <v>219</v>
      </c>
      <c r="AB127" s="24"/>
      <c r="AD127" s="467"/>
      <c r="AE127" s="82"/>
      <c r="AF127" s="82"/>
      <c r="AG127" s="82"/>
      <c r="AH127" s="190" t="s">
        <v>750</v>
      </c>
      <c r="AI127" s="692">
        <v>280000</v>
      </c>
      <c r="AJ127" s="849">
        <v>22916564</v>
      </c>
      <c r="AK127" s="850"/>
    </row>
    <row r="128" spans="1:39" x14ac:dyDescent="0.2">
      <c r="A128" s="545" t="s">
        <v>219</v>
      </c>
      <c r="B128" s="24" t="s">
        <v>437</v>
      </c>
      <c r="C128" s="23">
        <v>1700000</v>
      </c>
      <c r="D128" s="145">
        <v>2</v>
      </c>
      <c r="E128" s="82"/>
      <c r="F128" s="115">
        <f t="shared" si="22"/>
        <v>1700000</v>
      </c>
      <c r="G128" s="23"/>
      <c r="H128" s="116">
        <f t="shared" si="25"/>
        <v>1000000</v>
      </c>
      <c r="I128" s="23">
        <v>700000</v>
      </c>
      <c r="J128" s="99">
        <f t="shared" si="26"/>
        <v>1700000</v>
      </c>
      <c r="K128" s="47"/>
      <c r="L128" s="82"/>
      <c r="M128" s="82"/>
      <c r="N128" s="110">
        <f t="shared" si="27"/>
        <v>1700000</v>
      </c>
      <c r="O128" s="74"/>
      <c r="P128" s="99">
        <v>1700000</v>
      </c>
      <c r="Q128" s="47"/>
      <c r="R128" s="180">
        <f t="shared" si="24"/>
        <v>4700000</v>
      </c>
      <c r="S128" s="82">
        <v>-3000000</v>
      </c>
      <c r="T128" s="47"/>
      <c r="U128" s="82">
        <v>361950</v>
      </c>
      <c r="V128" s="82">
        <v>361950</v>
      </c>
      <c r="W128" s="24" t="s">
        <v>437</v>
      </c>
      <c r="X128" s="239">
        <v>2000000</v>
      </c>
      <c r="Y128" s="239">
        <f>X128</f>
        <v>2000000</v>
      </c>
      <c r="Z128" s="239">
        <f>Y128-1500000</f>
        <v>500000</v>
      </c>
      <c r="AA128" s="48" t="s">
        <v>219</v>
      </c>
      <c r="AB128" s="24"/>
      <c r="AC128" s="239">
        <v>7000000</v>
      </c>
      <c r="AD128" s="467"/>
      <c r="AE128" s="82">
        <v>0</v>
      </c>
      <c r="AF128" s="82"/>
      <c r="AG128" s="82"/>
      <c r="AH128" s="190"/>
      <c r="AI128" s="692">
        <v>20000000</v>
      </c>
      <c r="AJ128" s="849"/>
      <c r="AK128" s="848"/>
    </row>
    <row r="129" spans="1:37" ht="15" x14ac:dyDescent="0.25">
      <c r="A129" s="545" t="s">
        <v>219</v>
      </c>
      <c r="B129" s="24" t="s">
        <v>362</v>
      </c>
      <c r="C129" s="23">
        <v>10201422</v>
      </c>
      <c r="D129" s="145">
        <v>1</v>
      </c>
      <c r="E129" s="82"/>
      <c r="F129" s="115">
        <f t="shared" si="22"/>
        <v>10201422</v>
      </c>
      <c r="G129" s="23"/>
      <c r="H129" s="116">
        <f t="shared" si="25"/>
        <v>10201422</v>
      </c>
      <c r="I129" s="23"/>
      <c r="J129" s="99">
        <f t="shared" si="26"/>
        <v>10201422</v>
      </c>
      <c r="K129" s="47"/>
      <c r="L129" s="82"/>
      <c r="M129" s="82"/>
      <c r="N129" s="110">
        <f t="shared" si="27"/>
        <v>10201422</v>
      </c>
      <c r="O129" s="74"/>
      <c r="P129" s="99">
        <f>15395422-5194000</f>
        <v>10201422</v>
      </c>
      <c r="Q129" s="47"/>
      <c r="R129" s="180">
        <f t="shared" si="24"/>
        <v>10201422</v>
      </c>
      <c r="S129" s="82"/>
      <c r="T129" s="47"/>
      <c r="U129" s="82">
        <v>10201422</v>
      </c>
      <c r="V129" s="82">
        <v>10201422</v>
      </c>
      <c r="W129" s="24" t="s">
        <v>362</v>
      </c>
      <c r="X129" s="239">
        <v>18500000</v>
      </c>
      <c r="Y129" s="239">
        <f t="shared" ref="Y129:Y133" si="29">X129</f>
        <v>18500000</v>
      </c>
      <c r="Z129" s="239">
        <f>Y129-3879383</f>
        <v>14620617</v>
      </c>
      <c r="AA129" s="48" t="s">
        <v>219</v>
      </c>
      <c r="AB129" s="96" t="s">
        <v>580</v>
      </c>
      <c r="AC129" s="239">
        <v>3000000</v>
      </c>
      <c r="AD129" s="467">
        <f>AC129-2000000</f>
        <v>1000000</v>
      </c>
      <c r="AE129" s="82">
        <v>2000000</v>
      </c>
      <c r="AF129" s="82"/>
      <c r="AG129" s="82"/>
      <c r="AH129" s="190" t="s">
        <v>745</v>
      </c>
      <c r="AI129" s="212"/>
      <c r="AJ129" s="851">
        <f>500000-500000</f>
        <v>0</v>
      </c>
      <c r="AK129" s="848"/>
    </row>
    <row r="130" spans="1:37" x14ac:dyDescent="0.2">
      <c r="A130" s="545" t="s">
        <v>219</v>
      </c>
      <c r="B130" s="47" t="s">
        <v>284</v>
      </c>
      <c r="C130" s="23">
        <v>8000000</v>
      </c>
      <c r="D130" s="145">
        <v>3</v>
      </c>
      <c r="E130" s="82"/>
      <c r="F130" s="115">
        <f t="shared" si="22"/>
        <v>0</v>
      </c>
      <c r="G130" s="23">
        <v>8000000</v>
      </c>
      <c r="H130" s="116">
        <f t="shared" si="25"/>
        <v>0</v>
      </c>
      <c r="I130" s="23">
        <v>8000000</v>
      </c>
      <c r="J130" s="99">
        <f t="shared" si="26"/>
        <v>8000000</v>
      </c>
      <c r="K130" s="47"/>
      <c r="L130" s="82"/>
      <c r="M130" s="82"/>
      <c r="N130" s="82">
        <f t="shared" si="27"/>
        <v>0</v>
      </c>
      <c r="O130" s="82"/>
      <c r="P130" s="99">
        <v>8000000</v>
      </c>
      <c r="Q130" s="47"/>
      <c r="R130" s="180">
        <f t="shared" si="24"/>
        <v>0</v>
      </c>
      <c r="S130" s="82">
        <v>8000000</v>
      </c>
      <c r="T130" s="47"/>
      <c r="U130" s="82"/>
      <c r="V130" s="82"/>
      <c r="W130" s="47" t="s">
        <v>284</v>
      </c>
      <c r="X130" s="239">
        <v>8000000</v>
      </c>
      <c r="Y130" s="239">
        <f t="shared" si="29"/>
        <v>8000000</v>
      </c>
      <c r="Z130" s="239">
        <v>1000000</v>
      </c>
      <c r="AA130" s="48" t="s">
        <v>219</v>
      </c>
      <c r="AB130" s="24" t="s">
        <v>590</v>
      </c>
      <c r="AC130" s="241">
        <v>10000000</v>
      </c>
      <c r="AD130" s="467">
        <v>10000000</v>
      </c>
      <c r="AE130" s="82"/>
      <c r="AF130" s="82"/>
      <c r="AG130" s="82"/>
      <c r="AH130" s="190"/>
      <c r="AI130" s="212"/>
      <c r="AJ130" s="851"/>
      <c r="AK130" s="848"/>
    </row>
    <row r="131" spans="1:37" hidden="1" x14ac:dyDescent="0.2">
      <c r="A131" s="545" t="s">
        <v>219</v>
      </c>
      <c r="B131" s="24" t="s">
        <v>351</v>
      </c>
      <c r="C131" s="23">
        <v>2500000</v>
      </c>
      <c r="D131" s="145">
        <v>3</v>
      </c>
      <c r="E131" s="82"/>
      <c r="F131" s="115">
        <f t="shared" si="22"/>
        <v>0</v>
      </c>
      <c r="G131" s="23">
        <v>2500000</v>
      </c>
      <c r="H131" s="116">
        <f t="shared" si="25"/>
        <v>0</v>
      </c>
      <c r="I131" s="23">
        <v>2500000</v>
      </c>
      <c r="J131" s="99">
        <f t="shared" si="26"/>
        <v>2500000</v>
      </c>
      <c r="K131" s="47"/>
      <c r="L131" s="82"/>
      <c r="M131" s="82"/>
      <c r="N131" s="82">
        <f t="shared" si="27"/>
        <v>0</v>
      </c>
      <c r="O131" s="82"/>
      <c r="P131" s="99">
        <v>0</v>
      </c>
      <c r="Q131" s="47"/>
      <c r="R131" s="180">
        <f t="shared" si="24"/>
        <v>0</v>
      </c>
      <c r="S131" s="82">
        <v>2500000</v>
      </c>
      <c r="T131" s="47"/>
      <c r="U131" s="82"/>
      <c r="V131" s="82"/>
      <c r="W131" s="24" t="s">
        <v>351</v>
      </c>
      <c r="X131" s="239">
        <v>2500000</v>
      </c>
      <c r="Y131" s="239">
        <f t="shared" si="29"/>
        <v>2500000</v>
      </c>
      <c r="Z131" s="239"/>
      <c r="AA131" s="48" t="s">
        <v>219</v>
      </c>
      <c r="AB131" s="24"/>
      <c r="AD131" s="467">
        <f t="shared" si="21"/>
        <v>0</v>
      </c>
      <c r="AE131" s="82"/>
      <c r="AF131" s="82"/>
      <c r="AG131" s="82"/>
      <c r="AH131" s="190" t="s">
        <v>719</v>
      </c>
      <c r="AI131" s="212"/>
      <c r="AJ131" s="851"/>
      <c r="AK131" s="845"/>
    </row>
    <row r="132" spans="1:37" hidden="1" x14ac:dyDescent="0.2">
      <c r="A132" s="545" t="s">
        <v>219</v>
      </c>
      <c r="B132" s="24" t="s">
        <v>354</v>
      </c>
      <c r="C132" s="23">
        <v>5000000</v>
      </c>
      <c r="D132" s="145"/>
      <c r="E132" s="82"/>
      <c r="F132" s="115">
        <f t="shared" si="22"/>
        <v>5000000</v>
      </c>
      <c r="G132" s="23"/>
      <c r="H132" s="116">
        <f t="shared" si="25"/>
        <v>4000000</v>
      </c>
      <c r="I132" s="23">
        <v>1000000</v>
      </c>
      <c r="J132" s="99">
        <f t="shared" si="26"/>
        <v>5000000</v>
      </c>
      <c r="K132" s="47"/>
      <c r="L132" s="82"/>
      <c r="M132" s="82"/>
      <c r="N132" s="110">
        <f t="shared" si="27"/>
        <v>5000000</v>
      </c>
      <c r="O132" s="74"/>
      <c r="P132" s="99">
        <v>5000000</v>
      </c>
      <c r="Q132" s="47"/>
      <c r="R132" s="180">
        <f t="shared" si="24"/>
        <v>7000000</v>
      </c>
      <c r="S132" s="82">
        <v>-2000000</v>
      </c>
      <c r="T132" s="47"/>
      <c r="U132" s="82">
        <v>2319000</v>
      </c>
      <c r="V132" s="82">
        <f>2319000+3314765</f>
        <v>5633765</v>
      </c>
      <c r="W132" s="24"/>
      <c r="X132" s="239">
        <v>10000000</v>
      </c>
      <c r="Y132" s="239">
        <f t="shared" si="29"/>
        <v>10000000</v>
      </c>
      <c r="Z132" s="239"/>
      <c r="AA132" s="48" t="s">
        <v>219</v>
      </c>
      <c r="AB132" s="24"/>
      <c r="AD132" s="467">
        <f t="shared" si="21"/>
        <v>0</v>
      </c>
      <c r="AE132" s="82"/>
      <c r="AF132" s="82"/>
      <c r="AG132" s="82"/>
      <c r="AH132" s="190" t="s">
        <v>720</v>
      </c>
      <c r="AI132" s="212"/>
      <c r="AJ132" s="851"/>
      <c r="AK132" s="845"/>
    </row>
    <row r="133" spans="1:37" hidden="1" x14ac:dyDescent="0.2">
      <c r="A133" s="545" t="s">
        <v>219</v>
      </c>
      <c r="B133" s="24" t="s">
        <v>353</v>
      </c>
      <c r="C133" s="23">
        <v>15000000</v>
      </c>
      <c r="D133" s="145"/>
      <c r="E133" s="82"/>
      <c r="F133" s="115">
        <f t="shared" si="22"/>
        <v>5000000</v>
      </c>
      <c r="G133" s="23">
        <v>10000000</v>
      </c>
      <c r="H133" s="116">
        <f t="shared" si="25"/>
        <v>5000000</v>
      </c>
      <c r="I133" s="23">
        <f>G133</f>
        <v>10000000</v>
      </c>
      <c r="J133" s="99">
        <f t="shared" si="26"/>
        <v>15000000</v>
      </c>
      <c r="K133" s="47"/>
      <c r="L133" s="82"/>
      <c r="M133" s="82"/>
      <c r="N133" s="110">
        <v>30000000</v>
      </c>
      <c r="O133" s="74"/>
      <c r="P133" s="99">
        <v>15000000</v>
      </c>
      <c r="Q133" s="47"/>
      <c r="R133" s="180">
        <f t="shared" si="24"/>
        <v>5000000</v>
      </c>
      <c r="S133" s="82">
        <v>10000000</v>
      </c>
      <c r="T133" s="47"/>
      <c r="U133" s="82">
        <v>12355154</v>
      </c>
      <c r="V133" s="82">
        <f>(12355154+26574531)</f>
        <v>38929685</v>
      </c>
      <c r="W133" s="24" t="s">
        <v>353</v>
      </c>
      <c r="X133" s="239">
        <v>15000000</v>
      </c>
      <c r="Y133" s="239">
        <f t="shared" si="29"/>
        <v>15000000</v>
      </c>
      <c r="Z133" s="239">
        <v>4200000</v>
      </c>
      <c r="AA133" s="48" t="s">
        <v>219</v>
      </c>
      <c r="AB133" s="24"/>
      <c r="AD133" s="467">
        <f t="shared" si="21"/>
        <v>0</v>
      </c>
      <c r="AE133" s="82"/>
      <c r="AF133" s="82"/>
      <c r="AG133" s="82"/>
      <c r="AH133" s="74"/>
      <c r="AI133" s="212"/>
      <c r="AJ133" s="851"/>
      <c r="AK133" s="845"/>
    </row>
    <row r="134" spans="1:37" hidden="1" x14ac:dyDescent="0.2">
      <c r="A134" s="545" t="s">
        <v>219</v>
      </c>
      <c r="B134" s="24" t="s">
        <v>355</v>
      </c>
      <c r="C134" s="23">
        <v>9923000</v>
      </c>
      <c r="D134" s="145"/>
      <c r="E134" s="82"/>
      <c r="F134" s="115">
        <f t="shared" si="22"/>
        <v>4000000</v>
      </c>
      <c r="G134" s="23">
        <v>5923000</v>
      </c>
      <c r="H134" s="116">
        <f t="shared" si="25"/>
        <v>3000000</v>
      </c>
      <c r="I134" s="23">
        <v>6923000</v>
      </c>
      <c r="J134" s="99">
        <f t="shared" si="26"/>
        <v>9923000</v>
      </c>
      <c r="K134" s="47"/>
      <c r="L134" s="82"/>
      <c r="M134" s="82"/>
      <c r="N134" s="82">
        <f t="shared" si="27"/>
        <v>4000000</v>
      </c>
      <c r="O134" s="82"/>
      <c r="P134" s="99">
        <v>9923000</v>
      </c>
      <c r="Q134" s="78" t="s">
        <v>418</v>
      </c>
      <c r="R134" s="180">
        <f t="shared" si="24"/>
        <v>3000000</v>
      </c>
      <c r="S134" s="82">
        <v>6923000</v>
      </c>
      <c r="T134" s="47"/>
      <c r="U134" s="82"/>
      <c r="V134" s="82"/>
      <c r="W134" s="24" t="s">
        <v>531</v>
      </c>
      <c r="X134" s="239">
        <v>100000000</v>
      </c>
      <c r="Y134" s="239">
        <v>190000000</v>
      </c>
      <c r="Z134" s="239">
        <v>190000000</v>
      </c>
      <c r="AA134" s="48" t="s">
        <v>219</v>
      </c>
      <c r="AB134" s="24"/>
      <c r="AD134" s="467">
        <f t="shared" si="21"/>
        <v>0</v>
      </c>
      <c r="AE134" s="82"/>
      <c r="AF134" s="82"/>
      <c r="AG134" s="82"/>
      <c r="AH134" s="74"/>
      <c r="AI134" s="212"/>
      <c r="AJ134" s="851"/>
      <c r="AK134" s="845"/>
    </row>
    <row r="135" spans="1:37" hidden="1" x14ac:dyDescent="0.2">
      <c r="A135" s="545" t="s">
        <v>219</v>
      </c>
      <c r="B135" s="24" t="s">
        <v>419</v>
      </c>
      <c r="C135" s="23">
        <v>4966000</v>
      </c>
      <c r="D135" s="145"/>
      <c r="E135" s="82"/>
      <c r="F135" s="115">
        <f t="shared" si="22"/>
        <v>4966000</v>
      </c>
      <c r="G135" s="23"/>
      <c r="H135" s="116">
        <f t="shared" si="25"/>
        <v>4966000</v>
      </c>
      <c r="I135" s="23"/>
      <c r="J135" s="99">
        <f t="shared" si="26"/>
        <v>4966000</v>
      </c>
      <c r="K135" s="47"/>
      <c r="L135" s="82"/>
      <c r="M135" s="82"/>
      <c r="N135" s="110">
        <f t="shared" si="27"/>
        <v>4966000</v>
      </c>
      <c r="O135" s="74"/>
      <c r="P135" s="99">
        <v>4966000</v>
      </c>
      <c r="Q135" s="47"/>
      <c r="R135" s="180">
        <f t="shared" si="24"/>
        <v>4966000</v>
      </c>
      <c r="S135" s="82"/>
      <c r="T135" s="47"/>
      <c r="U135" s="82"/>
      <c r="V135" s="82">
        <v>762000</v>
      </c>
      <c r="W135" s="24" t="s">
        <v>364</v>
      </c>
      <c r="X135" s="239">
        <v>100000000</v>
      </c>
      <c r="Y135" s="239">
        <f>X135</f>
        <v>100000000</v>
      </c>
      <c r="Z135" s="239">
        <f>Y135</f>
        <v>100000000</v>
      </c>
      <c r="AA135" s="48" t="s">
        <v>219</v>
      </c>
      <c r="AB135" s="24"/>
      <c r="AD135" s="467">
        <f t="shared" si="21"/>
        <v>0</v>
      </c>
      <c r="AE135" s="82"/>
      <c r="AF135" s="82"/>
      <c r="AG135" s="82"/>
      <c r="AH135" s="74"/>
      <c r="AI135" s="212"/>
      <c r="AJ135" s="851"/>
      <c r="AK135" s="845"/>
    </row>
    <row r="136" spans="1:37" hidden="1" x14ac:dyDescent="0.2">
      <c r="A136" s="545" t="s">
        <v>219</v>
      </c>
      <c r="B136" s="24" t="s">
        <v>360</v>
      </c>
      <c r="C136" s="22">
        <v>2648000</v>
      </c>
      <c r="D136" s="86"/>
      <c r="E136" s="82"/>
      <c r="F136" s="115">
        <f t="shared" si="22"/>
        <v>0</v>
      </c>
      <c r="G136" s="23">
        <v>2648000</v>
      </c>
      <c r="H136" s="116">
        <f t="shared" si="25"/>
        <v>0</v>
      </c>
      <c r="I136" s="23">
        <f>G136</f>
        <v>2648000</v>
      </c>
      <c r="J136" s="99">
        <f t="shared" si="26"/>
        <v>2648000</v>
      </c>
      <c r="K136" s="47"/>
      <c r="L136" s="82"/>
      <c r="M136" s="82"/>
      <c r="N136" s="82">
        <f t="shared" si="27"/>
        <v>0</v>
      </c>
      <c r="O136" s="74"/>
      <c r="P136" s="99">
        <v>2648000</v>
      </c>
      <c r="Q136" s="47"/>
      <c r="R136" s="180">
        <f t="shared" si="24"/>
        <v>0</v>
      </c>
      <c r="S136" s="82">
        <v>2648000</v>
      </c>
      <c r="T136" s="47"/>
      <c r="U136" s="82"/>
      <c r="V136" s="82"/>
      <c r="W136" s="24"/>
      <c r="Y136" s="239"/>
      <c r="Z136" s="239"/>
      <c r="AA136" s="48" t="s">
        <v>219</v>
      </c>
      <c r="AB136" s="24"/>
      <c r="AD136" s="467">
        <f t="shared" si="21"/>
        <v>0</v>
      </c>
      <c r="AE136" s="82"/>
      <c r="AF136" s="82"/>
      <c r="AG136" s="82"/>
      <c r="AH136" s="74"/>
      <c r="AI136" s="212"/>
      <c r="AJ136" s="851"/>
      <c r="AK136" s="845"/>
    </row>
    <row r="137" spans="1:37" hidden="1" x14ac:dyDescent="0.2">
      <c r="A137" s="545" t="s">
        <v>219</v>
      </c>
      <c r="B137" s="24" t="s">
        <v>361</v>
      </c>
      <c r="C137" s="22">
        <v>5659000</v>
      </c>
      <c r="D137" s="86"/>
      <c r="E137" s="82"/>
      <c r="F137" s="115">
        <f t="shared" si="22"/>
        <v>5659000</v>
      </c>
      <c r="G137" s="23"/>
      <c r="H137" s="116">
        <f t="shared" si="25"/>
        <v>5659000</v>
      </c>
      <c r="I137" s="23"/>
      <c r="J137" s="99">
        <f t="shared" si="26"/>
        <v>5659000</v>
      </c>
      <c r="K137" s="47"/>
      <c r="L137" s="82"/>
      <c r="M137" s="82"/>
      <c r="N137" s="110">
        <f t="shared" si="27"/>
        <v>5659000</v>
      </c>
      <c r="O137" s="74"/>
      <c r="P137" s="99">
        <v>5659000</v>
      </c>
      <c r="Q137" s="47"/>
      <c r="R137" s="180">
        <f t="shared" si="24"/>
        <v>5659000</v>
      </c>
      <c r="S137" s="82"/>
      <c r="T137" s="47"/>
      <c r="U137" s="82">
        <v>3454097</v>
      </c>
      <c r="V137" s="82">
        <v>3454097</v>
      </c>
      <c r="W137" s="24"/>
      <c r="Y137" s="239"/>
      <c r="Z137" s="239"/>
      <c r="AA137" s="48" t="s">
        <v>219</v>
      </c>
      <c r="AB137" s="24"/>
      <c r="AD137" s="467">
        <f t="shared" si="21"/>
        <v>0</v>
      </c>
      <c r="AE137" s="82"/>
      <c r="AF137" s="82"/>
      <c r="AG137" s="82"/>
      <c r="AH137" s="74"/>
      <c r="AI137" s="212"/>
      <c r="AJ137" s="851"/>
      <c r="AK137" s="845"/>
    </row>
    <row r="138" spans="1:37" hidden="1" x14ac:dyDescent="0.2">
      <c r="A138" s="545" t="s">
        <v>219</v>
      </c>
      <c r="B138" s="24" t="s">
        <v>366</v>
      </c>
      <c r="C138" s="22">
        <v>85000</v>
      </c>
      <c r="D138" s="86">
        <v>1</v>
      </c>
      <c r="E138" s="82"/>
      <c r="F138" s="115">
        <f t="shared" si="22"/>
        <v>85000</v>
      </c>
      <c r="G138" s="23"/>
      <c r="H138" s="116">
        <f t="shared" si="25"/>
        <v>85000</v>
      </c>
      <c r="I138" s="23"/>
      <c r="J138" s="99">
        <f t="shared" si="26"/>
        <v>85000</v>
      </c>
      <c r="K138" s="47"/>
      <c r="L138" s="82"/>
      <c r="M138" s="82"/>
      <c r="N138" s="110">
        <f t="shared" si="27"/>
        <v>85000</v>
      </c>
      <c r="O138" s="74"/>
      <c r="P138" s="99">
        <v>85000</v>
      </c>
      <c r="Q138" s="47"/>
      <c r="R138" s="180">
        <f t="shared" si="24"/>
        <v>85000</v>
      </c>
      <c r="S138" s="82"/>
      <c r="T138" s="47"/>
      <c r="U138" s="82"/>
      <c r="V138" s="82"/>
      <c r="W138" s="24"/>
      <c r="Y138" s="239"/>
      <c r="Z138" s="239"/>
      <c r="AA138" s="78" t="s">
        <v>219</v>
      </c>
      <c r="AB138" s="24"/>
      <c r="AD138" s="467">
        <f t="shared" si="21"/>
        <v>0</v>
      </c>
      <c r="AE138" s="82"/>
      <c r="AF138" s="82"/>
      <c r="AG138" s="82"/>
      <c r="AH138" s="74"/>
      <c r="AI138" s="212"/>
      <c r="AJ138" s="851"/>
      <c r="AK138" s="845"/>
    </row>
    <row r="139" spans="1:37" hidden="1" x14ac:dyDescent="0.2">
      <c r="A139" s="545" t="s">
        <v>219</v>
      </c>
      <c r="B139" s="24" t="s">
        <v>367</v>
      </c>
      <c r="C139" s="22">
        <v>35000</v>
      </c>
      <c r="D139" s="86">
        <v>1</v>
      </c>
      <c r="E139" s="82"/>
      <c r="F139" s="115">
        <f t="shared" si="22"/>
        <v>35000</v>
      </c>
      <c r="G139" s="23"/>
      <c r="H139" s="116">
        <f t="shared" si="25"/>
        <v>35000</v>
      </c>
      <c r="I139" s="23"/>
      <c r="J139" s="99">
        <f t="shared" ref="J139:J143" si="30">F139+G139</f>
        <v>35000</v>
      </c>
      <c r="K139" s="47"/>
      <c r="L139" s="82"/>
      <c r="M139" s="82"/>
      <c r="N139" s="110">
        <f t="shared" ref="N139:N142" si="31">F139</f>
        <v>35000</v>
      </c>
      <c r="O139" s="74"/>
      <c r="P139" s="99">
        <v>35000</v>
      </c>
      <c r="Q139" s="47"/>
      <c r="R139" s="180">
        <f t="shared" si="24"/>
        <v>35000</v>
      </c>
      <c r="S139" s="82"/>
      <c r="T139" s="47"/>
      <c r="U139" s="82"/>
      <c r="V139" s="82"/>
      <c r="W139" s="24"/>
      <c r="Y139" s="239"/>
      <c r="Z139" s="239"/>
      <c r="AA139" s="78" t="s">
        <v>219</v>
      </c>
      <c r="AB139" s="24"/>
      <c r="AD139" s="467">
        <f t="shared" si="21"/>
        <v>0</v>
      </c>
      <c r="AE139" s="82"/>
      <c r="AF139" s="82"/>
      <c r="AG139" s="82"/>
      <c r="AH139" s="74"/>
      <c r="AI139" s="212"/>
      <c r="AJ139" s="851"/>
      <c r="AK139" s="845"/>
    </row>
    <row r="140" spans="1:37" hidden="1" x14ac:dyDescent="0.2">
      <c r="A140" s="545" t="s">
        <v>219</v>
      </c>
      <c r="B140" s="24" t="s">
        <v>365</v>
      </c>
      <c r="C140" s="22">
        <v>1000000</v>
      </c>
      <c r="D140" s="86">
        <v>1</v>
      </c>
      <c r="E140" s="82"/>
      <c r="F140" s="115">
        <f>2500000-G140</f>
        <v>2500000</v>
      </c>
      <c r="G140" s="23"/>
      <c r="H140" s="116">
        <f>2500000-I140</f>
        <v>2000000</v>
      </c>
      <c r="I140" s="23">
        <v>500000</v>
      </c>
      <c r="J140" s="99">
        <f t="shared" si="30"/>
        <v>2500000</v>
      </c>
      <c r="K140" s="47"/>
      <c r="L140" s="82"/>
      <c r="M140" s="82"/>
      <c r="N140" s="110">
        <v>500000</v>
      </c>
      <c r="O140" s="74"/>
      <c r="P140" s="99">
        <v>2500000</v>
      </c>
      <c r="Q140" s="47"/>
      <c r="R140" s="180">
        <f t="shared" si="24"/>
        <v>1000000</v>
      </c>
      <c r="S140" s="82">
        <v>0</v>
      </c>
      <c r="T140" s="47"/>
      <c r="U140" s="82"/>
      <c r="V140" s="82"/>
      <c r="W140" s="24"/>
      <c r="Y140" s="239"/>
      <c r="Z140" s="239"/>
      <c r="AA140" s="78" t="s">
        <v>219</v>
      </c>
      <c r="AB140" s="24"/>
      <c r="AD140" s="467">
        <f t="shared" si="21"/>
        <v>0</v>
      </c>
      <c r="AE140" s="82"/>
      <c r="AF140" s="82"/>
      <c r="AG140" s="82"/>
      <c r="AH140" s="74"/>
      <c r="AI140" s="212"/>
      <c r="AJ140" s="851"/>
      <c r="AK140" s="845"/>
    </row>
    <row r="141" spans="1:37" hidden="1" x14ac:dyDescent="0.2">
      <c r="A141" s="545" t="s">
        <v>219</v>
      </c>
      <c r="B141" s="24" t="s">
        <v>368</v>
      </c>
      <c r="C141" s="22">
        <v>30000</v>
      </c>
      <c r="D141" s="86">
        <v>1</v>
      </c>
      <c r="E141" s="82"/>
      <c r="F141" s="115">
        <f t="shared" si="22"/>
        <v>30000</v>
      </c>
      <c r="G141" s="23"/>
      <c r="H141" s="116">
        <f t="shared" si="25"/>
        <v>30000</v>
      </c>
      <c r="I141" s="23"/>
      <c r="J141" s="99">
        <f t="shared" si="30"/>
        <v>30000</v>
      </c>
      <c r="K141" s="47"/>
      <c r="L141" s="82"/>
      <c r="M141" s="82"/>
      <c r="N141" s="110">
        <f t="shared" si="31"/>
        <v>30000</v>
      </c>
      <c r="O141" s="74"/>
      <c r="P141" s="99">
        <v>30000</v>
      </c>
      <c r="Q141" s="47"/>
      <c r="R141" s="180">
        <f t="shared" si="24"/>
        <v>30000</v>
      </c>
      <c r="S141" s="82"/>
      <c r="T141" s="47"/>
      <c r="U141" s="82"/>
      <c r="V141" s="82"/>
      <c r="W141" s="24"/>
      <c r="Y141" s="239"/>
      <c r="Z141" s="239"/>
      <c r="AA141" s="78" t="s">
        <v>219</v>
      </c>
      <c r="AB141" s="24"/>
      <c r="AD141" s="467">
        <f t="shared" si="21"/>
        <v>0</v>
      </c>
      <c r="AE141" s="82"/>
      <c r="AF141" s="82"/>
      <c r="AG141" s="82"/>
      <c r="AH141" s="74"/>
      <c r="AI141" s="212"/>
      <c r="AJ141" s="851"/>
      <c r="AK141" s="845"/>
    </row>
    <row r="142" spans="1:37" hidden="1" x14ac:dyDescent="0.2">
      <c r="A142" s="545" t="s">
        <v>219</v>
      </c>
      <c r="B142" s="24" t="s">
        <v>373</v>
      </c>
      <c r="C142" s="22">
        <v>75526000</v>
      </c>
      <c r="D142" s="86"/>
      <c r="E142" s="82"/>
      <c r="F142" s="115">
        <f t="shared" si="22"/>
        <v>75526000</v>
      </c>
      <c r="G142" s="23"/>
      <c r="H142" s="116">
        <f t="shared" si="25"/>
        <v>75526000</v>
      </c>
      <c r="I142" s="23"/>
      <c r="J142" s="99">
        <f t="shared" si="30"/>
        <v>75526000</v>
      </c>
      <c r="K142" s="47"/>
      <c r="L142" s="82"/>
      <c r="M142" s="82"/>
      <c r="N142" s="110">
        <f t="shared" si="31"/>
        <v>75526000</v>
      </c>
      <c r="O142" s="74"/>
      <c r="P142" s="99">
        <v>75526000</v>
      </c>
      <c r="Q142" s="47"/>
      <c r="R142" s="180">
        <f t="shared" si="24"/>
        <v>75526000</v>
      </c>
      <c r="S142" s="82"/>
      <c r="T142" s="47"/>
      <c r="U142" s="82"/>
      <c r="V142" s="82"/>
      <c r="W142" s="24" t="s">
        <v>373</v>
      </c>
      <c r="X142" s="239">
        <v>110000000</v>
      </c>
      <c r="Y142" s="239">
        <f>X142</f>
        <v>110000000</v>
      </c>
      <c r="Z142" s="239">
        <v>140000000</v>
      </c>
      <c r="AA142" s="78" t="s">
        <v>219</v>
      </c>
      <c r="AB142" s="24"/>
      <c r="AD142" s="467">
        <f t="shared" si="21"/>
        <v>0</v>
      </c>
      <c r="AE142" s="82"/>
      <c r="AF142" s="82"/>
      <c r="AG142" s="82"/>
      <c r="AH142" s="74"/>
      <c r="AI142" s="212"/>
      <c r="AJ142" s="851"/>
      <c r="AK142" s="845"/>
    </row>
    <row r="143" spans="1:37" hidden="1" x14ac:dyDescent="0.2">
      <c r="A143" s="545" t="s">
        <v>219</v>
      </c>
      <c r="B143" s="24" t="s">
        <v>374</v>
      </c>
      <c r="C143" s="22">
        <f>80*3980*2</f>
        <v>636800</v>
      </c>
      <c r="D143" s="86"/>
      <c r="E143" s="82"/>
      <c r="F143" s="115">
        <f t="shared" si="22"/>
        <v>636800</v>
      </c>
      <c r="G143" s="23"/>
      <c r="H143" s="116">
        <f t="shared" si="25"/>
        <v>636800</v>
      </c>
      <c r="I143" s="23"/>
      <c r="J143" s="99">
        <f t="shared" si="30"/>
        <v>636800</v>
      </c>
      <c r="K143" s="47"/>
      <c r="L143" s="82"/>
      <c r="M143" s="82"/>
      <c r="N143" s="110">
        <v>0</v>
      </c>
      <c r="O143" s="74"/>
      <c r="P143" s="99">
        <v>636800</v>
      </c>
      <c r="Q143" s="47"/>
      <c r="R143" s="180">
        <f t="shared" si="24"/>
        <v>636800</v>
      </c>
      <c r="S143" s="82"/>
      <c r="T143" s="47"/>
      <c r="U143" s="82"/>
      <c r="V143" s="82"/>
      <c r="W143" s="24" t="s">
        <v>374</v>
      </c>
      <c r="X143" s="239">
        <v>1000000</v>
      </c>
      <c r="Y143" s="239">
        <f t="shared" ref="Y143:Z170" si="32">X143</f>
        <v>1000000</v>
      </c>
      <c r="Z143" s="239"/>
      <c r="AA143" s="78" t="s">
        <v>219</v>
      </c>
      <c r="AB143" s="24"/>
      <c r="AD143" s="467">
        <f t="shared" si="21"/>
        <v>0</v>
      </c>
      <c r="AE143" s="82"/>
      <c r="AF143" s="82"/>
      <c r="AG143" s="82"/>
      <c r="AH143" s="74"/>
      <c r="AI143" s="212"/>
      <c r="AJ143" s="851"/>
      <c r="AK143" s="845"/>
    </row>
    <row r="144" spans="1:37" hidden="1" x14ac:dyDescent="0.2">
      <c r="A144" s="545" t="s">
        <v>219</v>
      </c>
      <c r="B144" s="24" t="s">
        <v>428</v>
      </c>
      <c r="C144" s="22">
        <f>1907087+4952964+11132820</f>
        <v>17992871</v>
      </c>
      <c r="D144" s="86"/>
      <c r="E144" s="82"/>
      <c r="F144" s="115">
        <f>17000000-G144</f>
        <v>0</v>
      </c>
      <c r="G144" s="23">
        <v>17000000</v>
      </c>
      <c r="H144" s="116">
        <f>17000000-I144</f>
        <v>0</v>
      </c>
      <c r="I144" s="23">
        <v>17000000</v>
      </c>
      <c r="J144" s="99"/>
      <c r="K144" s="47"/>
      <c r="L144" s="82"/>
      <c r="M144" s="82"/>
      <c r="N144" s="82"/>
      <c r="O144" s="82"/>
      <c r="P144" s="99"/>
      <c r="Q144" s="47"/>
      <c r="R144" s="180">
        <f t="shared" si="24"/>
        <v>17992871</v>
      </c>
      <c r="S144" s="82"/>
      <c r="T144" s="47"/>
      <c r="U144" s="82"/>
      <c r="V144" s="82"/>
      <c r="W144" s="24" t="s">
        <v>428</v>
      </c>
      <c r="X144" s="239">
        <v>27000000</v>
      </c>
      <c r="Y144" s="239">
        <f t="shared" si="32"/>
        <v>27000000</v>
      </c>
      <c r="Z144" s="239">
        <f t="shared" si="32"/>
        <v>27000000</v>
      </c>
      <c r="AA144" s="78" t="s">
        <v>219</v>
      </c>
      <c r="AB144" s="24"/>
      <c r="AD144" s="467">
        <f t="shared" si="21"/>
        <v>0</v>
      </c>
      <c r="AE144" s="82"/>
      <c r="AF144" s="82"/>
      <c r="AG144" s="82"/>
      <c r="AH144" s="74"/>
      <c r="AI144" s="212"/>
      <c r="AJ144" s="851"/>
      <c r="AK144" s="845"/>
    </row>
    <row r="145" spans="1:37" hidden="1" x14ac:dyDescent="0.2">
      <c r="A145" s="545" t="s">
        <v>219</v>
      </c>
      <c r="B145" s="24" t="s">
        <v>429</v>
      </c>
      <c r="C145" s="22">
        <v>4500000</v>
      </c>
      <c r="D145" s="86"/>
      <c r="E145" s="82"/>
      <c r="F145" s="115"/>
      <c r="G145" s="23"/>
      <c r="H145" s="116">
        <f t="shared" si="25"/>
        <v>0</v>
      </c>
      <c r="I145" s="23">
        <v>4500000</v>
      </c>
      <c r="J145" s="99"/>
      <c r="K145" s="47"/>
      <c r="L145" s="82"/>
      <c r="M145" s="82"/>
      <c r="N145" s="82"/>
      <c r="O145" s="82"/>
      <c r="P145" s="99"/>
      <c r="Q145" s="47"/>
      <c r="R145" s="180">
        <f t="shared" ref="R145:R159" si="33">C145-S145</f>
        <v>4500000</v>
      </c>
      <c r="S145" s="82"/>
      <c r="T145" s="47"/>
      <c r="U145" s="82">
        <v>4500000</v>
      </c>
      <c r="V145" s="82">
        <v>4500000</v>
      </c>
      <c r="W145" s="24" t="s">
        <v>429</v>
      </c>
      <c r="X145" s="239">
        <v>5000000</v>
      </c>
      <c r="Y145" s="239">
        <f t="shared" si="32"/>
        <v>5000000</v>
      </c>
      <c r="Z145" s="239">
        <v>1000000</v>
      </c>
      <c r="AA145" s="78" t="s">
        <v>219</v>
      </c>
      <c r="AB145" s="24"/>
      <c r="AD145" s="467">
        <f t="shared" si="21"/>
        <v>0</v>
      </c>
      <c r="AE145" s="82"/>
      <c r="AF145" s="82"/>
      <c r="AG145" s="82"/>
      <c r="AH145" s="74"/>
      <c r="AI145" s="212"/>
      <c r="AJ145" s="851"/>
      <c r="AK145" s="845"/>
    </row>
    <row r="146" spans="1:37" hidden="1" x14ac:dyDescent="0.2">
      <c r="A146" s="545" t="s">
        <v>219</v>
      </c>
      <c r="B146" s="24" t="s">
        <v>430</v>
      </c>
      <c r="C146" s="22">
        <f>750000*1.27</f>
        <v>952500</v>
      </c>
      <c r="D146" s="86"/>
      <c r="E146" s="82"/>
      <c r="F146" s="115"/>
      <c r="G146" s="23"/>
      <c r="H146" s="116">
        <f t="shared" si="25"/>
        <v>0</v>
      </c>
      <c r="I146" s="23">
        <v>952500</v>
      </c>
      <c r="J146" s="99"/>
      <c r="K146" s="47"/>
      <c r="L146" s="82"/>
      <c r="M146" s="82"/>
      <c r="N146" s="82"/>
      <c r="O146" s="82"/>
      <c r="P146" s="99"/>
      <c r="Q146" s="47"/>
      <c r="R146" s="180">
        <f t="shared" si="33"/>
        <v>952500</v>
      </c>
      <c r="S146" s="82"/>
      <c r="T146" s="47"/>
      <c r="U146" s="82"/>
      <c r="V146" s="82"/>
      <c r="W146" s="24"/>
      <c r="Y146" s="239">
        <f t="shared" si="32"/>
        <v>0</v>
      </c>
      <c r="Z146" s="239">
        <f t="shared" si="32"/>
        <v>0</v>
      </c>
      <c r="AA146" s="78" t="s">
        <v>219</v>
      </c>
      <c r="AB146" s="24"/>
      <c r="AD146" s="467">
        <f t="shared" si="21"/>
        <v>0</v>
      </c>
      <c r="AE146" s="82"/>
      <c r="AF146" s="82"/>
      <c r="AG146" s="82"/>
      <c r="AH146" s="74"/>
      <c r="AI146" s="212"/>
      <c r="AJ146" s="851"/>
      <c r="AK146" s="845"/>
    </row>
    <row r="147" spans="1:37" hidden="1" x14ac:dyDescent="0.2">
      <c r="A147" s="545" t="s">
        <v>219</v>
      </c>
      <c r="B147" s="190" t="s">
        <v>431</v>
      </c>
      <c r="C147" s="22">
        <f>1100000*1.27</f>
        <v>1397000</v>
      </c>
      <c r="D147" s="86"/>
      <c r="E147" s="82"/>
      <c r="F147" s="115"/>
      <c r="G147" s="23"/>
      <c r="H147" s="116">
        <f t="shared" si="25"/>
        <v>0</v>
      </c>
      <c r="I147" s="23">
        <v>1397000</v>
      </c>
      <c r="J147" s="99"/>
      <c r="K147" s="47"/>
      <c r="L147" s="82"/>
      <c r="M147" s="82"/>
      <c r="N147" s="82"/>
      <c r="O147" s="82"/>
      <c r="P147" s="99"/>
      <c r="Q147" s="47"/>
      <c r="R147" s="180">
        <f t="shared" si="33"/>
        <v>1397000</v>
      </c>
      <c r="S147" s="82"/>
      <c r="T147" s="47"/>
      <c r="U147" s="82"/>
      <c r="V147" s="82"/>
      <c r="W147" s="278"/>
      <c r="Y147" s="239">
        <f t="shared" si="32"/>
        <v>0</v>
      </c>
      <c r="Z147" s="239">
        <f t="shared" si="32"/>
        <v>0</v>
      </c>
      <c r="AA147" s="78" t="s">
        <v>219</v>
      </c>
      <c r="AB147" s="190"/>
      <c r="AD147" s="467">
        <f t="shared" si="21"/>
        <v>0</v>
      </c>
      <c r="AE147" s="82"/>
      <c r="AF147" s="82"/>
      <c r="AG147" s="82"/>
      <c r="AH147" s="74"/>
      <c r="AI147" s="212"/>
      <c r="AJ147" s="851"/>
      <c r="AK147" s="845"/>
    </row>
    <row r="148" spans="1:37" hidden="1" x14ac:dyDescent="0.2">
      <c r="A148" s="545" t="s">
        <v>219</v>
      </c>
      <c r="B148" s="189" t="s">
        <v>446</v>
      </c>
      <c r="C148" s="22"/>
      <c r="D148" s="86"/>
      <c r="E148" s="82"/>
      <c r="F148" s="115"/>
      <c r="G148" s="23"/>
      <c r="H148" s="116"/>
      <c r="I148" s="23"/>
      <c r="J148" s="99"/>
      <c r="K148" s="47"/>
      <c r="L148" s="82"/>
      <c r="M148" s="82"/>
      <c r="N148" s="82"/>
      <c r="O148" s="82"/>
      <c r="P148" s="99"/>
      <c r="Q148" s="47"/>
      <c r="R148" s="180"/>
      <c r="S148" s="82"/>
      <c r="T148" s="47"/>
      <c r="U148" s="82"/>
      <c r="V148" s="82"/>
      <c r="W148" s="189"/>
      <c r="Y148" s="239">
        <f t="shared" si="32"/>
        <v>0</v>
      </c>
      <c r="Z148" s="239">
        <f t="shared" si="32"/>
        <v>0</v>
      </c>
      <c r="AA148" s="78" t="s">
        <v>219</v>
      </c>
      <c r="AB148" s="189"/>
      <c r="AD148" s="467">
        <f t="shared" si="21"/>
        <v>0</v>
      </c>
      <c r="AE148" s="82"/>
      <c r="AF148" s="82"/>
      <c r="AG148" s="82"/>
      <c r="AH148" s="74"/>
      <c r="AI148" s="212"/>
      <c r="AJ148" s="851"/>
      <c r="AK148" s="845"/>
    </row>
    <row r="149" spans="1:37" hidden="1" x14ac:dyDescent="0.2">
      <c r="A149" s="545" t="s">
        <v>219</v>
      </c>
      <c r="B149" s="189" t="s">
        <v>447</v>
      </c>
      <c r="C149" s="22"/>
      <c r="D149" s="86"/>
      <c r="E149" s="82"/>
      <c r="F149" s="115"/>
      <c r="G149" s="23"/>
      <c r="H149" s="116"/>
      <c r="I149" s="23"/>
      <c r="J149" s="99"/>
      <c r="K149" s="47"/>
      <c r="L149" s="82"/>
      <c r="M149" s="82"/>
      <c r="N149" s="82"/>
      <c r="O149" s="82"/>
      <c r="P149" s="99"/>
      <c r="Q149" s="47"/>
      <c r="R149" s="180"/>
      <c r="S149" s="82"/>
      <c r="T149" s="47"/>
      <c r="U149" s="82"/>
      <c r="V149" s="82"/>
      <c r="W149" s="189" t="s">
        <v>447</v>
      </c>
      <c r="X149" s="239">
        <v>1500000</v>
      </c>
      <c r="Y149" s="239">
        <f t="shared" si="32"/>
        <v>1500000</v>
      </c>
      <c r="Z149" s="239">
        <f t="shared" si="32"/>
        <v>1500000</v>
      </c>
      <c r="AA149" s="78" t="s">
        <v>219</v>
      </c>
      <c r="AB149" s="189"/>
      <c r="AD149" s="467">
        <f t="shared" si="21"/>
        <v>0</v>
      </c>
      <c r="AE149" s="82"/>
      <c r="AF149" s="82"/>
      <c r="AG149" s="82"/>
      <c r="AH149" s="74"/>
      <c r="AI149" s="212"/>
      <c r="AJ149" s="851"/>
      <c r="AK149" s="845"/>
    </row>
    <row r="150" spans="1:37" hidden="1" x14ac:dyDescent="0.2">
      <c r="A150" s="545" t="s">
        <v>219</v>
      </c>
      <c r="B150" s="189" t="s">
        <v>448</v>
      </c>
      <c r="C150" s="22"/>
      <c r="D150" s="86"/>
      <c r="E150" s="82"/>
      <c r="F150" s="115"/>
      <c r="G150" s="23"/>
      <c r="H150" s="116"/>
      <c r="I150" s="23"/>
      <c r="J150" s="99"/>
      <c r="K150" s="47"/>
      <c r="L150" s="82"/>
      <c r="M150" s="82"/>
      <c r="N150" s="82"/>
      <c r="O150" s="82"/>
      <c r="P150" s="99"/>
      <c r="Q150" s="47"/>
      <c r="R150" s="180"/>
      <c r="S150" s="82"/>
      <c r="T150" s="47"/>
      <c r="U150" s="82"/>
      <c r="V150" s="82"/>
      <c r="W150" s="189"/>
      <c r="Y150" s="239">
        <f t="shared" si="32"/>
        <v>0</v>
      </c>
      <c r="Z150" s="239">
        <f t="shared" si="32"/>
        <v>0</v>
      </c>
      <c r="AA150" s="78" t="s">
        <v>219</v>
      </c>
      <c r="AB150" s="189"/>
      <c r="AD150" s="467">
        <f t="shared" ref="AD150:AD170" si="34">AC150</f>
        <v>0</v>
      </c>
      <c r="AE150" s="82"/>
      <c r="AF150" s="82"/>
      <c r="AG150" s="82"/>
      <c r="AH150" s="74"/>
      <c r="AI150" s="212"/>
      <c r="AJ150" s="851"/>
      <c r="AK150" s="845"/>
    </row>
    <row r="151" spans="1:37" hidden="1" x14ac:dyDescent="0.2">
      <c r="A151" s="545" t="s">
        <v>219</v>
      </c>
      <c r="B151" s="434" t="s">
        <v>449</v>
      </c>
      <c r="C151" s="22"/>
      <c r="D151" s="86"/>
      <c r="E151" s="82"/>
      <c r="F151" s="115"/>
      <c r="G151" s="23"/>
      <c r="H151" s="116"/>
      <c r="I151" s="23"/>
      <c r="J151" s="99"/>
      <c r="K151" s="47"/>
      <c r="L151" s="82"/>
      <c r="M151" s="82"/>
      <c r="N151" s="82"/>
      <c r="O151" s="82"/>
      <c r="P151" s="99"/>
      <c r="Q151" s="47"/>
      <c r="R151" s="180"/>
      <c r="S151" s="82"/>
      <c r="T151" s="47"/>
      <c r="U151" s="82"/>
      <c r="V151" s="82"/>
      <c r="W151" s="189"/>
      <c r="Y151" s="239">
        <f t="shared" si="32"/>
        <v>0</v>
      </c>
      <c r="Z151" s="239">
        <f t="shared" si="32"/>
        <v>0</v>
      </c>
      <c r="AA151" s="78" t="s">
        <v>219</v>
      </c>
      <c r="AB151" s="189"/>
      <c r="AD151" s="467">
        <f t="shared" si="34"/>
        <v>0</v>
      </c>
      <c r="AE151" s="82"/>
      <c r="AF151" s="82"/>
      <c r="AG151" s="82"/>
      <c r="AH151" s="74"/>
      <c r="AI151" s="212"/>
      <c r="AJ151" s="851"/>
      <c r="AK151" s="845"/>
    </row>
    <row r="152" spans="1:37" hidden="1" x14ac:dyDescent="0.2">
      <c r="A152" s="545" t="s">
        <v>219</v>
      </c>
      <c r="B152" s="189" t="s">
        <v>450</v>
      </c>
      <c r="C152" s="22"/>
      <c r="D152" s="86"/>
      <c r="E152" s="82"/>
      <c r="F152" s="115"/>
      <c r="G152" s="23"/>
      <c r="H152" s="116"/>
      <c r="I152" s="23"/>
      <c r="J152" s="99"/>
      <c r="K152" s="47"/>
      <c r="L152" s="82"/>
      <c r="M152" s="82"/>
      <c r="N152" s="82"/>
      <c r="O152" s="82"/>
      <c r="P152" s="99"/>
      <c r="Q152" s="47"/>
      <c r="R152" s="180"/>
      <c r="S152" s="82"/>
      <c r="T152" s="47"/>
      <c r="U152" s="82"/>
      <c r="V152" s="82"/>
      <c r="W152" s="189" t="s">
        <v>450</v>
      </c>
      <c r="X152" s="239">
        <v>8000000</v>
      </c>
      <c r="Y152" s="239">
        <f t="shared" si="32"/>
        <v>8000000</v>
      </c>
      <c r="Z152" s="239">
        <v>1012483</v>
      </c>
      <c r="AA152" s="78" t="s">
        <v>219</v>
      </c>
      <c r="AB152" s="189"/>
      <c r="AD152" s="467">
        <f t="shared" si="34"/>
        <v>0</v>
      </c>
      <c r="AE152" s="82"/>
      <c r="AF152" s="82"/>
      <c r="AG152" s="82"/>
      <c r="AH152" s="74"/>
      <c r="AI152" s="212"/>
      <c r="AJ152" s="851"/>
      <c r="AK152" s="845"/>
    </row>
    <row r="153" spans="1:37" hidden="1" x14ac:dyDescent="0.2">
      <c r="A153" s="545" t="s">
        <v>219</v>
      </c>
      <c r="B153" s="189" t="s">
        <v>451</v>
      </c>
      <c r="C153" s="22"/>
      <c r="D153" s="86"/>
      <c r="E153" s="82"/>
      <c r="F153" s="115"/>
      <c r="G153" s="23"/>
      <c r="H153" s="116"/>
      <c r="I153" s="23"/>
      <c r="J153" s="99"/>
      <c r="K153" s="47"/>
      <c r="L153" s="82"/>
      <c r="M153" s="82"/>
      <c r="N153" s="82"/>
      <c r="O153" s="82"/>
      <c r="P153" s="99"/>
      <c r="Q153" s="47"/>
      <c r="R153" s="180"/>
      <c r="S153" s="82"/>
      <c r="T153" s="47"/>
      <c r="U153" s="82"/>
      <c r="V153" s="82"/>
      <c r="W153" s="189" t="s">
        <v>451</v>
      </c>
      <c r="X153" s="239">
        <v>3000000</v>
      </c>
      <c r="Y153" s="239">
        <f t="shared" si="32"/>
        <v>3000000</v>
      </c>
      <c r="Z153" s="239"/>
      <c r="AA153" s="78" t="s">
        <v>219</v>
      </c>
      <c r="AB153" s="189"/>
      <c r="AD153" s="467">
        <f t="shared" si="34"/>
        <v>0</v>
      </c>
      <c r="AE153" s="82"/>
      <c r="AF153" s="82"/>
      <c r="AG153" s="82"/>
      <c r="AH153" s="74"/>
      <c r="AI153" s="212"/>
      <c r="AJ153" s="851"/>
      <c r="AK153" s="845"/>
    </row>
    <row r="154" spans="1:37" hidden="1" x14ac:dyDescent="0.2">
      <c r="A154" s="545" t="s">
        <v>219</v>
      </c>
      <c r="B154" s="189" t="s">
        <v>452</v>
      </c>
      <c r="C154" s="22"/>
      <c r="D154" s="86"/>
      <c r="E154" s="82"/>
      <c r="F154" s="115"/>
      <c r="G154" s="23"/>
      <c r="H154" s="116"/>
      <c r="I154" s="23"/>
      <c r="J154" s="99"/>
      <c r="K154" s="47"/>
      <c r="L154" s="82"/>
      <c r="M154" s="82"/>
      <c r="N154" s="82"/>
      <c r="O154" s="82"/>
      <c r="P154" s="99"/>
      <c r="Q154" s="47"/>
      <c r="R154" s="180"/>
      <c r="S154" s="82"/>
      <c r="T154" s="47"/>
      <c r="U154" s="82">
        <f>25594748+193698</f>
        <v>25788446</v>
      </c>
      <c r="V154" s="82">
        <f>25594748+193698+33450</f>
        <v>25821896</v>
      </c>
      <c r="W154" s="189"/>
      <c r="Y154" s="239">
        <f t="shared" si="32"/>
        <v>0</v>
      </c>
      <c r="Z154" s="239">
        <f t="shared" si="32"/>
        <v>0</v>
      </c>
      <c r="AA154" s="78" t="s">
        <v>219</v>
      </c>
      <c r="AB154" s="189"/>
      <c r="AD154" s="467">
        <f t="shared" si="34"/>
        <v>0</v>
      </c>
      <c r="AE154" s="82"/>
      <c r="AF154" s="82"/>
      <c r="AG154" s="82"/>
      <c r="AH154" s="74"/>
      <c r="AI154" s="212"/>
      <c r="AJ154" s="851"/>
      <c r="AK154" s="845"/>
    </row>
    <row r="155" spans="1:37" hidden="1" x14ac:dyDescent="0.2">
      <c r="A155" s="545" t="s">
        <v>219</v>
      </c>
      <c r="B155" s="189" t="s">
        <v>453</v>
      </c>
      <c r="C155" s="22"/>
      <c r="D155" s="86"/>
      <c r="E155" s="82"/>
      <c r="F155" s="115"/>
      <c r="G155" s="23"/>
      <c r="H155" s="116"/>
      <c r="I155" s="23"/>
      <c r="J155" s="99"/>
      <c r="K155" s="47"/>
      <c r="L155" s="82"/>
      <c r="M155" s="82"/>
      <c r="N155" s="82"/>
      <c r="O155" s="82"/>
      <c r="P155" s="99"/>
      <c r="Q155" s="47"/>
      <c r="R155" s="180"/>
      <c r="S155" s="82"/>
      <c r="T155" s="47"/>
      <c r="U155" s="82"/>
      <c r="V155" s="82"/>
      <c r="W155" s="189"/>
      <c r="Y155" s="239">
        <f t="shared" si="32"/>
        <v>0</v>
      </c>
      <c r="Z155" s="239">
        <f t="shared" si="32"/>
        <v>0</v>
      </c>
      <c r="AA155" s="78" t="s">
        <v>219</v>
      </c>
      <c r="AB155" s="189"/>
      <c r="AD155" s="467">
        <f t="shared" si="34"/>
        <v>0</v>
      </c>
      <c r="AE155" s="82"/>
      <c r="AF155" s="82"/>
      <c r="AG155" s="82"/>
      <c r="AH155" s="74"/>
      <c r="AI155" s="212"/>
      <c r="AJ155" s="851"/>
      <c r="AK155" s="845"/>
    </row>
    <row r="156" spans="1:37" hidden="1" x14ac:dyDescent="0.2">
      <c r="A156" s="545" t="s">
        <v>219</v>
      </c>
      <c r="B156" s="189" t="s">
        <v>454</v>
      </c>
      <c r="C156" s="22"/>
      <c r="D156" s="86"/>
      <c r="E156" s="82"/>
      <c r="F156" s="115"/>
      <c r="G156" s="23"/>
      <c r="H156" s="116">
        <f t="shared" si="25"/>
        <v>0</v>
      </c>
      <c r="I156" s="23"/>
      <c r="J156" s="99"/>
      <c r="K156" s="47"/>
      <c r="L156" s="82"/>
      <c r="M156" s="82"/>
      <c r="N156" s="82"/>
      <c r="O156" s="82"/>
      <c r="P156" s="99"/>
      <c r="Q156" s="47"/>
      <c r="R156" s="180">
        <f t="shared" si="33"/>
        <v>0</v>
      </c>
      <c r="S156" s="82"/>
      <c r="T156" s="47"/>
      <c r="U156" s="82">
        <v>2629807</v>
      </c>
      <c r="V156" s="82">
        <v>2629808</v>
      </c>
      <c r="W156" s="189" t="s">
        <v>454</v>
      </c>
      <c r="X156" s="239">
        <v>4000000</v>
      </c>
      <c r="Y156" s="239">
        <f t="shared" si="32"/>
        <v>4000000</v>
      </c>
      <c r="Z156" s="239"/>
      <c r="AA156" s="78" t="s">
        <v>219</v>
      </c>
      <c r="AB156" s="189"/>
      <c r="AD156" s="467">
        <f t="shared" si="34"/>
        <v>0</v>
      </c>
      <c r="AE156" s="82"/>
      <c r="AF156" s="82"/>
      <c r="AG156" s="82"/>
      <c r="AH156" s="74"/>
      <c r="AI156" s="212"/>
      <c r="AJ156" s="851"/>
      <c r="AK156" s="845"/>
    </row>
    <row r="157" spans="1:37" hidden="1" x14ac:dyDescent="0.2">
      <c r="A157" s="545" t="s">
        <v>219</v>
      </c>
      <c r="B157" s="189" t="s">
        <v>455</v>
      </c>
      <c r="C157" s="22"/>
      <c r="D157" s="86"/>
      <c r="E157" s="82"/>
      <c r="F157" s="115"/>
      <c r="G157" s="23"/>
      <c r="H157" s="116">
        <f t="shared" si="25"/>
        <v>0</v>
      </c>
      <c r="I157" s="23"/>
      <c r="J157" s="99"/>
      <c r="K157" s="47"/>
      <c r="L157" s="82"/>
      <c r="M157" s="82"/>
      <c r="N157" s="82"/>
      <c r="O157" s="82"/>
      <c r="P157" s="99"/>
      <c r="Q157" s="47"/>
      <c r="R157" s="180">
        <f t="shared" si="33"/>
        <v>0</v>
      </c>
      <c r="S157" s="82"/>
      <c r="T157" s="47"/>
      <c r="U157" s="82"/>
      <c r="V157" s="82"/>
      <c r="W157" s="189"/>
      <c r="Y157" s="239">
        <f t="shared" si="32"/>
        <v>0</v>
      </c>
      <c r="Z157" s="239">
        <f t="shared" si="32"/>
        <v>0</v>
      </c>
      <c r="AA157" s="78" t="s">
        <v>219</v>
      </c>
      <c r="AB157" s="189"/>
      <c r="AD157" s="467">
        <f t="shared" si="34"/>
        <v>0</v>
      </c>
      <c r="AE157" s="82"/>
      <c r="AF157" s="82"/>
      <c r="AG157" s="82"/>
      <c r="AH157" s="74"/>
      <c r="AI157" s="212"/>
      <c r="AJ157" s="851"/>
      <c r="AK157" s="845"/>
    </row>
    <row r="158" spans="1:37" hidden="1" x14ac:dyDescent="0.2">
      <c r="A158" s="545" t="s">
        <v>219</v>
      </c>
      <c r="B158" s="190" t="s">
        <v>490</v>
      </c>
      <c r="C158" s="22"/>
      <c r="D158" s="86"/>
      <c r="E158" s="82"/>
      <c r="F158" s="115"/>
      <c r="G158" s="23"/>
      <c r="H158" s="116">
        <f t="shared" si="25"/>
        <v>0</v>
      </c>
      <c r="I158" s="23"/>
      <c r="J158" s="99"/>
      <c r="K158" s="47"/>
      <c r="L158" s="82"/>
      <c r="M158" s="82"/>
      <c r="N158" s="82"/>
      <c r="O158" s="82"/>
      <c r="P158" s="99"/>
      <c r="Q158" s="47"/>
      <c r="R158" s="180">
        <f t="shared" si="33"/>
        <v>0</v>
      </c>
      <c r="S158" s="82"/>
      <c r="T158" s="47"/>
      <c r="U158" s="82"/>
      <c r="V158" s="82"/>
      <c r="W158" s="190" t="s">
        <v>490</v>
      </c>
      <c r="X158" s="239">
        <v>2000000</v>
      </c>
      <c r="Y158" s="239">
        <f t="shared" si="32"/>
        <v>2000000</v>
      </c>
      <c r="Z158" s="239">
        <v>1000000</v>
      </c>
      <c r="AA158" s="78" t="s">
        <v>219</v>
      </c>
      <c r="AB158" s="190"/>
      <c r="AD158" s="467">
        <f t="shared" si="34"/>
        <v>0</v>
      </c>
      <c r="AE158" s="82"/>
      <c r="AF158" s="82"/>
      <c r="AG158" s="82"/>
      <c r="AH158" s="74"/>
      <c r="AI158" s="212"/>
      <c r="AJ158" s="851"/>
      <c r="AK158" s="845"/>
    </row>
    <row r="159" spans="1:37" hidden="1" x14ac:dyDescent="0.2">
      <c r="A159" s="545" t="s">
        <v>219</v>
      </c>
      <c r="B159" s="24" t="s">
        <v>463</v>
      </c>
      <c r="C159" s="22"/>
      <c r="D159" s="86"/>
      <c r="E159" s="82"/>
      <c r="F159" s="115"/>
      <c r="G159" s="23"/>
      <c r="H159" s="116">
        <f t="shared" si="25"/>
        <v>0</v>
      </c>
      <c r="I159" s="23"/>
      <c r="J159" s="99"/>
      <c r="K159" s="47"/>
      <c r="L159" s="82"/>
      <c r="M159" s="82"/>
      <c r="N159" s="82"/>
      <c r="O159" s="82"/>
      <c r="P159" s="99"/>
      <c r="Q159" s="47"/>
      <c r="R159" s="180">
        <f t="shared" si="33"/>
        <v>0</v>
      </c>
      <c r="S159" s="82"/>
      <c r="T159" s="47"/>
      <c r="U159" s="82">
        <f>1245600*1.27</f>
        <v>1581912</v>
      </c>
      <c r="V159" s="82">
        <f>1245600*1.27</f>
        <v>1581912</v>
      </c>
      <c r="W159" s="24"/>
      <c r="Y159" s="239">
        <f t="shared" si="32"/>
        <v>0</v>
      </c>
      <c r="Z159" s="239">
        <f t="shared" si="32"/>
        <v>0</v>
      </c>
      <c r="AA159" s="78" t="s">
        <v>219</v>
      </c>
      <c r="AB159" s="24"/>
      <c r="AD159" s="467">
        <f t="shared" si="34"/>
        <v>0</v>
      </c>
      <c r="AE159" s="82"/>
      <c r="AF159" s="82"/>
      <c r="AG159" s="82"/>
      <c r="AH159" s="74"/>
      <c r="AI159" s="212"/>
      <c r="AJ159" s="851"/>
      <c r="AK159" s="845"/>
    </row>
    <row r="160" spans="1:37" hidden="1" x14ac:dyDescent="0.2">
      <c r="A160" s="545" t="s">
        <v>219</v>
      </c>
      <c r="B160" s="24" t="s">
        <v>464</v>
      </c>
      <c r="C160" s="22"/>
      <c r="D160" s="86"/>
      <c r="E160" s="82"/>
      <c r="F160" s="115"/>
      <c r="G160" s="23"/>
      <c r="H160" s="116"/>
      <c r="I160" s="23"/>
      <c r="J160" s="99"/>
      <c r="K160" s="47"/>
      <c r="L160" s="82"/>
      <c r="M160" s="82"/>
      <c r="N160" s="82"/>
      <c r="O160" s="82"/>
      <c r="P160" s="99"/>
      <c r="Q160" s="47"/>
      <c r="R160" s="180"/>
      <c r="S160" s="82"/>
      <c r="T160" s="47"/>
      <c r="U160" s="82">
        <v>330000</v>
      </c>
      <c r="V160" s="82">
        <v>330000</v>
      </c>
      <c r="W160" s="24"/>
      <c r="Y160" s="239">
        <f t="shared" si="32"/>
        <v>0</v>
      </c>
      <c r="Z160" s="239">
        <f t="shared" si="32"/>
        <v>0</v>
      </c>
      <c r="AA160" s="78" t="s">
        <v>219</v>
      </c>
      <c r="AB160" s="24"/>
      <c r="AD160" s="467">
        <f t="shared" si="34"/>
        <v>0</v>
      </c>
      <c r="AE160" s="82"/>
      <c r="AF160" s="82"/>
      <c r="AG160" s="82"/>
      <c r="AH160" s="74"/>
      <c r="AI160" s="212"/>
      <c r="AJ160" s="851"/>
      <c r="AK160" s="845"/>
    </row>
    <row r="161" spans="1:43" hidden="1" x14ac:dyDescent="0.2">
      <c r="A161" s="545" t="s">
        <v>219</v>
      </c>
      <c r="B161" s="24" t="s">
        <v>465</v>
      </c>
      <c r="C161" s="22"/>
      <c r="D161" s="86"/>
      <c r="E161" s="82"/>
      <c r="F161" s="115"/>
      <c r="G161" s="23"/>
      <c r="H161" s="116"/>
      <c r="I161" s="23"/>
      <c r="J161" s="99"/>
      <c r="K161" s="47"/>
      <c r="L161" s="82"/>
      <c r="M161" s="82"/>
      <c r="N161" s="82"/>
      <c r="O161" s="82"/>
      <c r="P161" s="99"/>
      <c r="Q161" s="47"/>
      <c r="R161" s="180"/>
      <c r="S161" s="82"/>
      <c r="T161" s="47"/>
      <c r="U161" s="82">
        <v>59990</v>
      </c>
      <c r="V161" s="82">
        <v>59990</v>
      </c>
      <c r="W161" s="24"/>
      <c r="Y161" s="239">
        <f t="shared" si="32"/>
        <v>0</v>
      </c>
      <c r="Z161" s="239">
        <f t="shared" si="32"/>
        <v>0</v>
      </c>
      <c r="AA161" s="78" t="s">
        <v>219</v>
      </c>
      <c r="AB161" s="24"/>
      <c r="AD161" s="467">
        <f t="shared" si="34"/>
        <v>0</v>
      </c>
      <c r="AE161" s="82"/>
      <c r="AF161" s="82"/>
      <c r="AG161" s="82"/>
      <c r="AH161" s="74"/>
      <c r="AI161" s="212"/>
      <c r="AJ161" s="851"/>
      <c r="AK161" s="845"/>
    </row>
    <row r="162" spans="1:43" hidden="1" x14ac:dyDescent="0.2">
      <c r="A162" s="545" t="s">
        <v>219</v>
      </c>
      <c r="B162" s="24" t="s">
        <v>466</v>
      </c>
      <c r="C162" s="22"/>
      <c r="D162" s="86"/>
      <c r="E162" s="82"/>
      <c r="F162" s="115"/>
      <c r="G162" s="23"/>
      <c r="H162" s="116"/>
      <c r="I162" s="23"/>
      <c r="J162" s="99"/>
      <c r="K162" s="47"/>
      <c r="L162" s="82"/>
      <c r="M162" s="82"/>
      <c r="N162" s="82"/>
      <c r="O162" s="82"/>
      <c r="P162" s="99"/>
      <c r="Q162" s="47"/>
      <c r="R162" s="180"/>
      <c r="S162" s="82"/>
      <c r="T162" s="47"/>
      <c r="U162" s="82">
        <v>68900</v>
      </c>
      <c r="V162" s="82">
        <v>68900</v>
      </c>
      <c r="W162" s="24"/>
      <c r="Y162" s="239">
        <f t="shared" si="32"/>
        <v>0</v>
      </c>
      <c r="Z162" s="239">
        <f t="shared" si="32"/>
        <v>0</v>
      </c>
      <c r="AA162" s="78" t="s">
        <v>219</v>
      </c>
      <c r="AB162" s="24"/>
      <c r="AD162" s="467">
        <f t="shared" si="34"/>
        <v>0</v>
      </c>
      <c r="AE162" s="82"/>
      <c r="AF162" s="82"/>
      <c r="AG162" s="82"/>
      <c r="AH162" s="74"/>
      <c r="AI162" s="212"/>
      <c r="AJ162" s="851"/>
      <c r="AK162" s="845"/>
    </row>
    <row r="163" spans="1:43" hidden="1" x14ac:dyDescent="0.2">
      <c r="A163" s="545" t="s">
        <v>219</v>
      </c>
      <c r="B163" s="24" t="s">
        <v>467</v>
      </c>
      <c r="C163" s="22"/>
      <c r="D163" s="86"/>
      <c r="E163" s="82"/>
      <c r="F163" s="115"/>
      <c r="G163" s="23"/>
      <c r="H163" s="116"/>
      <c r="I163" s="23"/>
      <c r="J163" s="99"/>
      <c r="K163" s="47"/>
      <c r="L163" s="82"/>
      <c r="M163" s="82"/>
      <c r="N163" s="82"/>
      <c r="O163" s="82"/>
      <c r="P163" s="99"/>
      <c r="Q163" s="47"/>
      <c r="R163" s="180"/>
      <c r="S163" s="82"/>
      <c r="T163" s="47"/>
      <c r="U163" s="82">
        <v>19990</v>
      </c>
      <c r="V163" s="82">
        <v>19990</v>
      </c>
      <c r="W163" s="24"/>
      <c r="Y163" s="239">
        <f t="shared" si="32"/>
        <v>0</v>
      </c>
      <c r="Z163" s="239">
        <f t="shared" si="32"/>
        <v>0</v>
      </c>
      <c r="AA163" s="78" t="s">
        <v>219</v>
      </c>
      <c r="AB163" s="24"/>
      <c r="AD163" s="467">
        <f t="shared" si="34"/>
        <v>0</v>
      </c>
      <c r="AE163" s="82"/>
      <c r="AF163" s="82"/>
      <c r="AG163" s="82"/>
      <c r="AH163" s="74"/>
      <c r="AI163" s="212"/>
      <c r="AJ163" s="851"/>
      <c r="AK163" s="845"/>
    </row>
    <row r="164" spans="1:43" hidden="1" x14ac:dyDescent="0.2">
      <c r="A164" s="545" t="s">
        <v>219</v>
      </c>
      <c r="B164" s="24" t="s">
        <v>468</v>
      </c>
      <c r="C164" s="22"/>
      <c r="D164" s="86"/>
      <c r="E164" s="82"/>
      <c r="F164" s="115"/>
      <c r="G164" s="23"/>
      <c r="H164" s="116"/>
      <c r="I164" s="23"/>
      <c r="J164" s="99"/>
      <c r="K164" s="47"/>
      <c r="L164" s="82"/>
      <c r="M164" s="82"/>
      <c r="N164" s="82"/>
      <c r="O164" s="82"/>
      <c r="P164" s="99"/>
      <c r="Q164" s="47"/>
      <c r="R164" s="180"/>
      <c r="S164" s="82"/>
      <c r="T164" s="47"/>
      <c r="U164" s="82">
        <v>136865</v>
      </c>
      <c r="V164" s="82">
        <v>136865</v>
      </c>
      <c r="W164" s="24"/>
      <c r="Y164" s="239">
        <f t="shared" si="32"/>
        <v>0</v>
      </c>
      <c r="Z164" s="239">
        <f t="shared" si="32"/>
        <v>0</v>
      </c>
      <c r="AA164" s="78" t="s">
        <v>219</v>
      </c>
      <c r="AB164" s="24"/>
      <c r="AD164" s="467">
        <f t="shared" si="34"/>
        <v>0</v>
      </c>
      <c r="AE164" s="82"/>
      <c r="AF164" s="82"/>
      <c r="AG164" s="82"/>
      <c r="AH164" s="74"/>
      <c r="AI164" s="212"/>
      <c r="AJ164" s="851"/>
      <c r="AK164" s="845"/>
    </row>
    <row r="165" spans="1:43" hidden="1" x14ac:dyDescent="0.2">
      <c r="A165" s="545" t="s">
        <v>219</v>
      </c>
      <c r="B165" s="24" t="s">
        <v>469</v>
      </c>
      <c r="C165" s="22"/>
      <c r="D165" s="86"/>
      <c r="E165" s="82"/>
      <c r="F165" s="115"/>
      <c r="G165" s="23"/>
      <c r="H165" s="116"/>
      <c r="I165" s="23"/>
      <c r="J165" s="99"/>
      <c r="K165" s="47"/>
      <c r="L165" s="82"/>
      <c r="M165" s="82"/>
      <c r="N165" s="82"/>
      <c r="O165" s="82"/>
      <c r="P165" s="99"/>
      <c r="Q165" s="47"/>
      <c r="R165" s="180"/>
      <c r="S165" s="82"/>
      <c r="T165" s="47"/>
      <c r="U165" s="82">
        <v>39897</v>
      </c>
      <c r="V165" s="82">
        <v>39897</v>
      </c>
      <c r="W165" s="24"/>
      <c r="Y165" s="239">
        <f t="shared" si="32"/>
        <v>0</v>
      </c>
      <c r="Z165" s="239">
        <f t="shared" si="32"/>
        <v>0</v>
      </c>
      <c r="AA165" s="78" t="s">
        <v>219</v>
      </c>
      <c r="AB165" s="24"/>
      <c r="AD165" s="467">
        <f t="shared" si="34"/>
        <v>0</v>
      </c>
      <c r="AE165" s="82"/>
      <c r="AF165" s="82"/>
      <c r="AG165" s="82"/>
      <c r="AH165" s="74"/>
      <c r="AI165" s="212"/>
      <c r="AJ165" s="851"/>
      <c r="AK165" s="845"/>
    </row>
    <row r="166" spans="1:43" hidden="1" x14ac:dyDescent="0.2">
      <c r="A166" s="545" t="s">
        <v>219</v>
      </c>
      <c r="B166" s="24" t="s">
        <v>477</v>
      </c>
      <c r="C166" s="22"/>
      <c r="D166" s="86"/>
      <c r="E166" s="82"/>
      <c r="F166" s="115"/>
      <c r="G166" s="23"/>
      <c r="H166" s="116"/>
      <c r="I166" s="23"/>
      <c r="J166" s="99"/>
      <c r="K166" s="47"/>
      <c r="L166" s="82"/>
      <c r="M166" s="82"/>
      <c r="N166" s="82"/>
      <c r="O166" s="82"/>
      <c r="P166" s="99"/>
      <c r="Q166" s="47"/>
      <c r="R166" s="180"/>
      <c r="S166" s="82"/>
      <c r="T166" s="47"/>
      <c r="U166" s="82"/>
      <c r="V166" s="82">
        <v>20000</v>
      </c>
      <c r="W166" s="24"/>
      <c r="Y166" s="239">
        <f t="shared" si="32"/>
        <v>0</v>
      </c>
      <c r="Z166" s="239">
        <f t="shared" si="32"/>
        <v>0</v>
      </c>
      <c r="AA166" s="78" t="s">
        <v>219</v>
      </c>
      <c r="AB166" s="24"/>
      <c r="AD166" s="467">
        <f t="shared" si="34"/>
        <v>0</v>
      </c>
      <c r="AE166" s="82"/>
      <c r="AF166" s="82"/>
      <c r="AG166" s="82"/>
      <c r="AH166" s="74"/>
      <c r="AI166" s="212"/>
      <c r="AJ166" s="851"/>
      <c r="AK166" s="845"/>
    </row>
    <row r="167" spans="1:43" x14ac:dyDescent="0.2">
      <c r="A167" s="545" t="s">
        <v>219</v>
      </c>
      <c r="B167" s="24"/>
      <c r="C167" s="22"/>
      <c r="D167" s="86"/>
      <c r="E167" s="82"/>
      <c r="F167" s="115"/>
      <c r="G167" s="23"/>
      <c r="H167" s="116"/>
      <c r="I167" s="23"/>
      <c r="J167" s="99"/>
      <c r="K167" s="47"/>
      <c r="L167" s="82"/>
      <c r="M167" s="82"/>
      <c r="N167" s="82"/>
      <c r="O167" s="82"/>
      <c r="P167" s="99"/>
      <c r="Q167" s="47"/>
      <c r="R167" s="180"/>
      <c r="S167" s="82"/>
      <c r="T167" s="47"/>
      <c r="U167" s="82"/>
      <c r="V167" s="82"/>
      <c r="W167" s="24"/>
      <c r="Y167" s="239"/>
      <c r="Z167" s="239"/>
      <c r="AA167" s="78"/>
      <c r="AB167" s="24" t="s">
        <v>620</v>
      </c>
      <c r="AD167" s="467"/>
      <c r="AE167" s="82">
        <v>5000000</v>
      </c>
      <c r="AF167" s="82"/>
      <c r="AG167" s="82"/>
      <c r="AH167" s="74"/>
      <c r="AI167" s="212"/>
      <c r="AJ167" s="851"/>
      <c r="AK167" s="845"/>
    </row>
    <row r="168" spans="1:43" x14ac:dyDescent="0.2">
      <c r="A168" s="545" t="s">
        <v>219</v>
      </c>
      <c r="B168" s="24"/>
      <c r="C168" s="22"/>
      <c r="D168" s="86"/>
      <c r="E168" s="82"/>
      <c r="F168" s="115"/>
      <c r="G168" s="23"/>
      <c r="H168" s="116"/>
      <c r="I168" s="23"/>
      <c r="J168" s="99"/>
      <c r="K168" s="47"/>
      <c r="L168" s="82"/>
      <c r="M168" s="82"/>
      <c r="N168" s="82"/>
      <c r="O168" s="82"/>
      <c r="P168" s="99"/>
      <c r="Q168" s="47"/>
      <c r="R168" s="180"/>
      <c r="S168" s="82"/>
      <c r="T168" s="47"/>
      <c r="U168" s="82"/>
      <c r="V168" s="82"/>
      <c r="W168" s="24"/>
      <c r="Y168" s="239"/>
      <c r="Z168" s="239"/>
      <c r="AA168" s="78"/>
      <c r="AB168" s="24" t="s">
        <v>636</v>
      </c>
      <c r="AD168" s="467"/>
      <c r="AE168" s="82">
        <v>10060390</v>
      </c>
      <c r="AF168" s="82"/>
      <c r="AG168" s="82"/>
      <c r="AH168" s="74" t="s">
        <v>746</v>
      </c>
      <c r="AI168" s="252"/>
      <c r="AJ168" s="852">
        <v>250000</v>
      </c>
      <c r="AK168" s="845">
        <v>200000</v>
      </c>
      <c r="AL168" s="881" t="s">
        <v>775</v>
      </c>
      <c r="AM168" s="882"/>
      <c r="AN168" s="881" t="s">
        <v>794</v>
      </c>
      <c r="AO168" s="882"/>
    </row>
    <row r="169" spans="1:43" x14ac:dyDescent="0.2">
      <c r="A169" s="545" t="s">
        <v>219</v>
      </c>
      <c r="B169" s="24"/>
      <c r="C169" s="22"/>
      <c r="D169" s="86"/>
      <c r="E169" s="82"/>
      <c r="F169" s="115"/>
      <c r="G169" s="23"/>
      <c r="H169" s="116"/>
      <c r="I169" s="23"/>
      <c r="J169" s="99"/>
      <c r="K169" s="47"/>
      <c r="L169" s="82"/>
      <c r="M169" s="82"/>
      <c r="N169" s="82"/>
      <c r="O169" s="82"/>
      <c r="P169" s="99"/>
      <c r="Q169" s="47"/>
      <c r="R169" s="180"/>
      <c r="S169" s="82"/>
      <c r="T169" s="47"/>
      <c r="U169" s="82"/>
      <c r="V169" s="82"/>
      <c r="W169" s="24"/>
      <c r="Y169" s="239"/>
      <c r="Z169" s="239"/>
      <c r="AA169" s="78"/>
      <c r="AB169" s="24"/>
      <c r="AD169" s="467"/>
      <c r="AE169" s="82"/>
      <c r="AF169" s="82"/>
      <c r="AG169" s="82"/>
      <c r="AH169" s="74" t="s">
        <v>757</v>
      </c>
      <c r="AI169" s="252"/>
      <c r="AJ169" s="852">
        <v>3000000</v>
      </c>
      <c r="AK169" s="845"/>
    </row>
    <row r="170" spans="1:43" x14ac:dyDescent="0.2">
      <c r="A170" s="545" t="s">
        <v>219</v>
      </c>
      <c r="B170" s="24"/>
      <c r="C170" s="22"/>
      <c r="D170" s="86"/>
      <c r="E170" s="82"/>
      <c r="F170" s="115"/>
      <c r="G170" s="23"/>
      <c r="H170" s="116"/>
      <c r="I170" s="23"/>
      <c r="J170" s="99"/>
      <c r="K170" s="47"/>
      <c r="L170" s="82"/>
      <c r="M170" s="82"/>
      <c r="N170" s="82"/>
      <c r="O170" s="82"/>
      <c r="P170" s="99"/>
      <c r="Q170" s="47"/>
      <c r="R170" s="180"/>
      <c r="S170" s="82"/>
      <c r="T170" s="47"/>
      <c r="U170" s="82"/>
      <c r="V170" s="82"/>
      <c r="W170" s="24"/>
      <c r="Y170" s="239">
        <f t="shared" si="32"/>
        <v>0</v>
      </c>
      <c r="Z170" s="239">
        <f t="shared" si="32"/>
        <v>0</v>
      </c>
      <c r="AA170" s="78"/>
      <c r="AB170" s="24" t="s">
        <v>621</v>
      </c>
      <c r="AD170" s="467">
        <f t="shared" si="34"/>
        <v>0</v>
      </c>
      <c r="AE170" s="82">
        <v>40000000</v>
      </c>
      <c r="AF170" s="82"/>
      <c r="AG170" s="82"/>
      <c r="AH170" s="74" t="s">
        <v>760</v>
      </c>
      <c r="AI170" s="252"/>
      <c r="AJ170" s="852">
        <v>15000000</v>
      </c>
      <c r="AK170" s="845"/>
    </row>
    <row r="171" spans="1:43" x14ac:dyDescent="0.2">
      <c r="A171" s="545" t="s">
        <v>219</v>
      </c>
      <c r="B171" s="24"/>
      <c r="C171" s="22"/>
      <c r="D171" s="86"/>
      <c r="E171" s="82"/>
      <c r="F171" s="115"/>
      <c r="G171" s="23"/>
      <c r="H171" s="116"/>
      <c r="I171" s="23"/>
      <c r="J171" s="99"/>
      <c r="K171" s="47"/>
      <c r="L171" s="82"/>
      <c r="M171" s="82"/>
      <c r="N171" s="82"/>
      <c r="O171" s="82"/>
      <c r="P171" s="99"/>
      <c r="Q171" s="47"/>
      <c r="R171" s="180"/>
      <c r="S171" s="82"/>
      <c r="T171" s="47"/>
      <c r="U171" s="82"/>
      <c r="V171" s="82"/>
      <c r="W171" s="24"/>
      <c r="Y171" s="239"/>
      <c r="Z171" s="239"/>
      <c r="AA171" s="78"/>
      <c r="AB171" s="24" t="s">
        <v>646</v>
      </c>
      <c r="AD171" s="467"/>
      <c r="AE171" s="597">
        <v>297484838</v>
      </c>
      <c r="AF171" s="82"/>
      <c r="AG171" s="82"/>
      <c r="AH171" s="74" t="s">
        <v>765</v>
      </c>
      <c r="AI171" s="252"/>
      <c r="AJ171" s="853">
        <v>32200000</v>
      </c>
      <c r="AK171" s="845"/>
    </row>
    <row r="172" spans="1:43" x14ac:dyDescent="0.2">
      <c r="A172" s="545" t="s">
        <v>219</v>
      </c>
      <c r="B172" s="24"/>
      <c r="C172" s="22"/>
      <c r="D172" s="86"/>
      <c r="E172" s="82"/>
      <c r="F172" s="115"/>
      <c r="G172" s="23"/>
      <c r="H172" s="116"/>
      <c r="I172" s="23"/>
      <c r="J172" s="99"/>
      <c r="K172" s="47"/>
      <c r="L172" s="82"/>
      <c r="M172" s="82"/>
      <c r="N172" s="82"/>
      <c r="O172" s="82"/>
      <c r="P172" s="99"/>
      <c r="Q172" s="47"/>
      <c r="R172" s="180"/>
      <c r="S172" s="82"/>
      <c r="T172" s="47"/>
      <c r="U172" s="82"/>
      <c r="V172" s="82"/>
      <c r="W172" s="24"/>
      <c r="Y172" s="239"/>
      <c r="Z172" s="239"/>
      <c r="AA172" s="78"/>
      <c r="AB172" s="24" t="s">
        <v>645</v>
      </c>
      <c r="AD172" s="467"/>
      <c r="AE172" s="82"/>
      <c r="AF172" s="82"/>
      <c r="AG172" s="82"/>
      <c r="AH172" s="82"/>
      <c r="AI172" s="252"/>
      <c r="AJ172" s="853"/>
      <c r="AK172" s="845"/>
    </row>
    <row r="173" spans="1:43" s="107" customFormat="1" x14ac:dyDescent="0.2">
      <c r="A173" s="195" t="s">
        <v>219</v>
      </c>
      <c r="B173" s="195"/>
      <c r="C173" s="194">
        <f>SUM(C112:C159)</f>
        <v>507201244.69999999</v>
      </c>
      <c r="D173" s="196"/>
      <c r="E173" s="194">
        <f t="shared" ref="E173:M173" si="35">SUM(E112:E141)</f>
        <v>0</v>
      </c>
      <c r="F173" s="194">
        <f>SUM(F112:F159)</f>
        <v>400687873.69999999</v>
      </c>
      <c r="G173" s="194">
        <f t="shared" ref="G173" si="36">SUM(G112:G159)</f>
        <v>100171000</v>
      </c>
      <c r="H173" s="194">
        <f>SUM(H112:H159)</f>
        <v>401087873.69999999</v>
      </c>
      <c r="I173" s="194">
        <f t="shared" si="35"/>
        <v>82771000</v>
      </c>
      <c r="J173" s="194">
        <f>SUM(J112:J142)</f>
        <v>483222073.69999999</v>
      </c>
      <c r="K173" s="194">
        <f t="shared" si="35"/>
        <v>0</v>
      </c>
      <c r="L173" s="194">
        <f t="shared" si="35"/>
        <v>0</v>
      </c>
      <c r="M173" s="194">
        <f t="shared" si="35"/>
        <v>0</v>
      </c>
      <c r="N173" s="194">
        <f>SUM(N112:N142)</f>
        <v>424051073.69999999</v>
      </c>
      <c r="O173" s="194">
        <f t="shared" ref="O173" si="37">SUM(O112:O142)</f>
        <v>0</v>
      </c>
      <c r="P173" s="194">
        <f>SUM(P112:P159)</f>
        <v>481358873.69999999</v>
      </c>
      <c r="Q173" s="195"/>
      <c r="R173" s="182">
        <f>SUM(R112:R159)</f>
        <v>445630244.69999999</v>
      </c>
      <c r="S173" s="182">
        <f>SUM(S112:S159)</f>
        <v>61571000</v>
      </c>
      <c r="T173" s="182">
        <f t="shared" ref="T173" si="38">SUM(T112:T159)</f>
        <v>0</v>
      </c>
      <c r="U173" s="182">
        <f>SUM(U112:U166)</f>
        <v>327191917.32000005</v>
      </c>
      <c r="V173" s="251">
        <f>SUM(V112:V166)</f>
        <v>393314876.31999999</v>
      </c>
      <c r="W173" s="251"/>
      <c r="X173" s="251">
        <f>SUM(X112:X166)</f>
        <v>775100000</v>
      </c>
      <c r="Y173" s="251">
        <f>SUM(Y112:Y166)</f>
        <v>719590743.86000001</v>
      </c>
      <c r="Z173" s="251">
        <f>SUM(Z112:Z166)</f>
        <v>634823843.86000001</v>
      </c>
      <c r="AA173" s="195" t="s">
        <v>219</v>
      </c>
      <c r="AB173" s="251"/>
      <c r="AC173" s="251">
        <f>SUM(AC112:AC166)</f>
        <v>288762762</v>
      </c>
      <c r="AD173" s="251">
        <f>SUM(AD112:AD166)</f>
        <v>263062762</v>
      </c>
      <c r="AE173" s="265">
        <f>SUM(AE112:AE172)</f>
        <v>398545228</v>
      </c>
      <c r="AF173" s="265" t="s">
        <v>687</v>
      </c>
      <c r="AG173" s="265">
        <f>SUM(AG112:AG172)</f>
        <v>361748920</v>
      </c>
      <c r="AH173" s="265" t="s">
        <v>687</v>
      </c>
      <c r="AI173" s="251">
        <f>SUM(AI112:AI172)</f>
        <v>976015083</v>
      </c>
      <c r="AJ173" s="691">
        <f>SUM(AJ112:AJ172)</f>
        <v>106732131</v>
      </c>
      <c r="AK173" s="691">
        <f>SUM(AK112:AK172)</f>
        <v>39869240</v>
      </c>
      <c r="AL173" s="687"/>
      <c r="AM173" s="687"/>
      <c r="AN173" s="687"/>
      <c r="AO173" s="687"/>
      <c r="AP173" s="687"/>
      <c r="AQ173" s="687"/>
    </row>
    <row r="174" spans="1:43" x14ac:dyDescent="0.2">
      <c r="A174" s="47"/>
      <c r="B174" s="47"/>
      <c r="C174" s="23"/>
      <c r="D174" s="145"/>
      <c r="E174" s="82"/>
      <c r="F174" s="48"/>
      <c r="G174" s="23"/>
      <c r="H174" s="116"/>
      <c r="I174" s="23"/>
      <c r="J174" s="47"/>
      <c r="K174" s="47"/>
      <c r="L174" s="82"/>
      <c r="M174" s="82"/>
      <c r="N174" s="82"/>
      <c r="O174" s="82"/>
      <c r="P174" s="47"/>
      <c r="Q174" s="47"/>
      <c r="R174" s="82"/>
      <c r="S174" s="82"/>
      <c r="T174" s="47"/>
      <c r="U174" s="82"/>
      <c r="V174" s="252"/>
      <c r="W174" s="338"/>
      <c r="X174" s="240"/>
      <c r="AA174" s="47"/>
      <c r="AB174" s="338"/>
      <c r="AC174" s="240"/>
      <c r="AH174" s="72" t="s">
        <v>764</v>
      </c>
      <c r="AJ174" s="740">
        <f>AJ173+AJ77+AJ67+AJ48+AJ15</f>
        <v>125920821</v>
      </c>
      <c r="AK174" s="740">
        <f>AK173+AK77+AK67+AK48+AK15</f>
        <v>62949240</v>
      </c>
    </row>
    <row r="175" spans="1:43" s="8" customFormat="1" x14ac:dyDescent="0.2">
      <c r="A175" s="9"/>
      <c r="B175" s="9"/>
      <c r="C175" s="92" t="e">
        <f>C173+C77+C67+C48+C14</f>
        <v>#REF!</v>
      </c>
      <c r="D175" s="18"/>
      <c r="E175" s="92"/>
      <c r="F175" s="194">
        <f>F14+F48+F77+F173</f>
        <v>402522873.69999999</v>
      </c>
      <c r="G175" s="16">
        <f>G14+G48+G77+G173</f>
        <v>114663000</v>
      </c>
      <c r="H175" s="194">
        <f>H14+H48+H77+H173</f>
        <v>403922873.69999999</v>
      </c>
      <c r="I175" s="16">
        <f>I14+I48+I77+I173</f>
        <v>97263000</v>
      </c>
      <c r="J175" s="9"/>
      <c r="K175" s="9"/>
      <c r="L175" s="92"/>
      <c r="M175" s="92"/>
      <c r="N175" s="92"/>
      <c r="O175" s="92"/>
      <c r="P175" s="9"/>
      <c r="Q175" s="9"/>
      <c r="R175" s="92">
        <f>R173+R77+R67+R48+R14</f>
        <v>452633087.69999999</v>
      </c>
      <c r="S175" s="92">
        <f>S173+S77+S67+S48+S14</f>
        <v>80188125</v>
      </c>
      <c r="T175" s="92">
        <f>T173+T77+T67+T48+T14</f>
        <v>0</v>
      </c>
      <c r="U175" s="92">
        <f>U173+U77+U67+U48+U14</f>
        <v>333822763.46000004</v>
      </c>
      <c r="V175" s="92">
        <f>V173+V77+V67+V48+V14</f>
        <v>401473173.45999998</v>
      </c>
      <c r="W175" s="92"/>
      <c r="X175" s="314">
        <f>X173+X77+X67+X48+X14</f>
        <v>795508930</v>
      </c>
      <c r="Y175" s="314">
        <f>Y173+Y77+Y67+Y48+Y14</f>
        <v>733754673.86000001</v>
      </c>
      <c r="Z175" s="314">
        <f>Z173+Z77+Z67+Z48+Z14</f>
        <v>644557773.86000001</v>
      </c>
      <c r="AA175" s="9"/>
      <c r="AB175" s="436" t="s">
        <v>650</v>
      </c>
      <c r="AC175" s="314">
        <f>AC173+AC77+AC67+AC48+AC14</f>
        <v>303221692</v>
      </c>
      <c r="AD175" s="314">
        <f>AD173+AD77+AD67+AD48+AD14</f>
        <v>277521692</v>
      </c>
      <c r="AE175" s="598">
        <f>AE15+AE48+AE67+AE173</f>
        <v>403824183</v>
      </c>
      <c r="AF175" s="612"/>
      <c r="AG175" s="73">
        <f>AG15+AG48+AG67+AG77+AG173</f>
        <v>366188020</v>
      </c>
      <c r="AH175" s="73"/>
      <c r="AI175" s="693">
        <f>AI15+AI48+AI67+AI77+AI173</f>
        <v>990020083</v>
      </c>
      <c r="AJ175" s="741"/>
      <c r="AK175" s="165"/>
      <c r="AL175" s="685"/>
      <c r="AM175" s="685"/>
      <c r="AN175" s="685"/>
      <c r="AO175" s="685"/>
      <c r="AP175" s="685"/>
      <c r="AQ175" s="685"/>
    </row>
    <row r="176" spans="1:43" x14ac:dyDescent="0.2">
      <c r="P176" s="95">
        <f>P173+P48+P67</f>
        <v>499553716.69999999</v>
      </c>
      <c r="R176" s="83"/>
      <c r="X176" s="83"/>
      <c r="Y176" s="83"/>
      <c r="Z176" s="83"/>
      <c r="AC176" s="460">
        <f>AC175*0.27</f>
        <v>81869856.840000004</v>
      </c>
      <c r="AD176" s="460">
        <f>AD175*0.27</f>
        <v>74930856.840000004</v>
      </c>
    </row>
    <row r="177" spans="18:38" x14ac:dyDescent="0.2">
      <c r="R177" s="83"/>
      <c r="X177" s="83"/>
      <c r="Y177" s="83"/>
      <c r="Z177" s="83"/>
      <c r="AC177" s="83"/>
      <c r="AE177" s="37">
        <v>398545228</v>
      </c>
    </row>
    <row r="178" spans="18:38" x14ac:dyDescent="0.2">
      <c r="R178" s="83"/>
      <c r="X178" s="83"/>
      <c r="Y178" s="83"/>
      <c r="Z178" s="83"/>
      <c r="AC178" s="83"/>
      <c r="AK178" s="797"/>
    </row>
    <row r="179" spans="18:38" x14ac:dyDescent="0.2">
      <c r="R179" s="83"/>
      <c r="X179" s="83"/>
      <c r="Y179" s="83"/>
      <c r="Z179" s="83"/>
      <c r="AC179" s="83"/>
      <c r="AK179" s="797"/>
    </row>
    <row r="180" spans="18:38" x14ac:dyDescent="0.2">
      <c r="R180" s="83"/>
      <c r="X180" s="83"/>
      <c r="Y180" s="83"/>
      <c r="Z180" s="83"/>
      <c r="AC180" s="83"/>
      <c r="AK180" s="797"/>
    </row>
    <row r="181" spans="18:38" x14ac:dyDescent="0.2">
      <c r="R181" s="83"/>
      <c r="X181" s="83"/>
      <c r="Y181" s="83"/>
      <c r="Z181" s="83"/>
      <c r="AC181" s="83"/>
      <c r="AK181" s="797"/>
    </row>
    <row r="182" spans="18:38" x14ac:dyDescent="0.2">
      <c r="R182" s="83"/>
      <c r="X182" s="83"/>
      <c r="Y182" s="83"/>
      <c r="Z182" s="83"/>
      <c r="AC182" s="83"/>
      <c r="AK182" s="797"/>
    </row>
    <row r="183" spans="18:38" x14ac:dyDescent="0.2">
      <c r="R183" s="83"/>
      <c r="X183" s="83"/>
      <c r="Y183" s="83"/>
      <c r="Z183" s="83"/>
      <c r="AC183" s="83"/>
      <c r="AI183" s="200">
        <v>2667000</v>
      </c>
      <c r="AJ183" s="167"/>
      <c r="AK183" s="797"/>
    </row>
    <row r="184" spans="18:38" x14ac:dyDescent="0.2">
      <c r="R184" s="83"/>
      <c r="X184" s="83"/>
      <c r="Y184" s="83"/>
      <c r="Z184" s="83"/>
      <c r="AC184" s="83"/>
      <c r="AI184" s="200">
        <v>1270000</v>
      </c>
      <c r="AK184" s="797"/>
      <c r="AL184" s="742"/>
    </row>
    <row r="185" spans="18:38" x14ac:dyDescent="0.2">
      <c r="R185" s="83"/>
      <c r="X185" s="83"/>
      <c r="Y185" s="83"/>
      <c r="Z185" s="83"/>
      <c r="AC185" s="83"/>
      <c r="AI185" s="200">
        <v>4101000</v>
      </c>
      <c r="AK185" s="797"/>
      <c r="AL185" s="742"/>
    </row>
    <row r="186" spans="18:38" x14ac:dyDescent="0.2">
      <c r="R186" s="83"/>
      <c r="X186" s="83"/>
      <c r="Y186" s="83"/>
      <c r="Z186" s="83"/>
      <c r="AC186" s="83"/>
      <c r="AI186" s="200">
        <v>8762126</v>
      </c>
      <c r="AK186" s="797"/>
    </row>
    <row r="187" spans="18:38" x14ac:dyDescent="0.2">
      <c r="R187" s="83"/>
      <c r="X187" s="83"/>
      <c r="Y187" s="83"/>
      <c r="Z187" s="83"/>
      <c r="AC187" s="83"/>
      <c r="AI187" s="200">
        <v>190500</v>
      </c>
      <c r="AK187" s="797"/>
    </row>
    <row r="188" spans="18:38" x14ac:dyDescent="0.2">
      <c r="R188" s="83"/>
      <c r="X188" s="83"/>
      <c r="Y188" s="83"/>
      <c r="Z188" s="83"/>
      <c r="AC188" s="83"/>
      <c r="AI188" s="200">
        <v>190500</v>
      </c>
      <c r="AK188" s="797"/>
    </row>
    <row r="189" spans="18:38" x14ac:dyDescent="0.2">
      <c r="R189" s="83"/>
      <c r="X189" s="83"/>
      <c r="Y189" s="83"/>
      <c r="Z189" s="83"/>
      <c r="AC189" s="83"/>
      <c r="AI189" s="709">
        <f>SUM(AI183:AI188)</f>
        <v>17181126</v>
      </c>
      <c r="AK189" s="797"/>
    </row>
    <row r="190" spans="18:38" x14ac:dyDescent="0.2">
      <c r="R190" s="83"/>
      <c r="X190" s="83"/>
      <c r="Y190" s="83"/>
      <c r="Z190" s="83"/>
      <c r="AC190" s="83"/>
      <c r="AK190" s="797"/>
    </row>
    <row r="191" spans="18:38" x14ac:dyDescent="0.2">
      <c r="R191" s="83"/>
      <c r="X191" s="83"/>
      <c r="Y191" s="83"/>
      <c r="Z191" s="83"/>
      <c r="AC191" s="83"/>
      <c r="AK191" s="797"/>
    </row>
    <row r="192" spans="18:38" x14ac:dyDescent="0.2">
      <c r="R192" s="83"/>
      <c r="X192" s="83"/>
      <c r="Y192" s="83"/>
      <c r="Z192" s="83"/>
      <c r="AC192" s="83"/>
      <c r="AK192" s="797"/>
    </row>
    <row r="193" spans="18:29" x14ac:dyDescent="0.2">
      <c r="R193" s="83"/>
      <c r="X193" s="83"/>
      <c r="Y193" s="83"/>
      <c r="Z193" s="83"/>
      <c r="AC193" s="83"/>
    </row>
    <row r="194" spans="18:29" x14ac:dyDescent="0.2">
      <c r="R194" s="83"/>
      <c r="X194" s="83"/>
      <c r="Y194" s="83"/>
      <c r="Z194" s="83"/>
      <c r="AC194" s="83"/>
    </row>
    <row r="195" spans="18:29" x14ac:dyDescent="0.2">
      <c r="R195" s="83"/>
      <c r="X195" s="83"/>
      <c r="Y195" s="83"/>
      <c r="Z195" s="83"/>
      <c r="AC195" s="83"/>
    </row>
    <row r="196" spans="18:29" x14ac:dyDescent="0.2">
      <c r="R196" s="83"/>
      <c r="X196" s="83"/>
      <c r="Y196" s="83"/>
      <c r="Z196" s="83"/>
      <c r="AC196" s="83"/>
    </row>
    <row r="197" spans="18:29" x14ac:dyDescent="0.2">
      <c r="R197" s="83"/>
      <c r="X197" s="83"/>
      <c r="Y197" s="83"/>
      <c r="Z197" s="83"/>
      <c r="AC197" s="83"/>
    </row>
    <row r="198" spans="18:29" x14ac:dyDescent="0.2">
      <c r="R198" s="83"/>
      <c r="X198" s="83"/>
      <c r="Y198" s="83"/>
      <c r="Z198" s="83"/>
      <c r="AC198" s="83"/>
    </row>
    <row r="199" spans="18:29" x14ac:dyDescent="0.2">
      <c r="R199" s="83"/>
      <c r="X199" s="83"/>
      <c r="Y199" s="83"/>
      <c r="Z199" s="83"/>
      <c r="AC199" s="83"/>
    </row>
    <row r="200" spans="18:29" x14ac:dyDescent="0.2">
      <c r="X200" s="83"/>
      <c r="Y200" s="83"/>
      <c r="Z200" s="83"/>
      <c r="AC200" s="83"/>
    </row>
    <row r="201" spans="18:29" x14ac:dyDescent="0.2">
      <c r="X201" s="83"/>
      <c r="Y201" s="83"/>
      <c r="Z201" s="83"/>
      <c r="AC201" s="83"/>
    </row>
    <row r="202" spans="18:29" x14ac:dyDescent="0.2">
      <c r="X202" s="83"/>
      <c r="Y202" s="83"/>
      <c r="Z202" s="83"/>
      <c r="AC202" s="83"/>
    </row>
    <row r="203" spans="18:29" x14ac:dyDescent="0.2">
      <c r="X203" s="83"/>
      <c r="Y203" s="83"/>
      <c r="Z203" s="83"/>
      <c r="AC203" s="83"/>
    </row>
    <row r="204" spans="18:29" x14ac:dyDescent="0.2">
      <c r="X204" s="83"/>
      <c r="Y204" s="83"/>
      <c r="Z204" s="83"/>
      <c r="AC204" s="83"/>
    </row>
    <row r="205" spans="18:29" x14ac:dyDescent="0.2">
      <c r="X205" s="83"/>
      <c r="Y205" s="83"/>
      <c r="Z205" s="83"/>
      <c r="AC205" s="83"/>
    </row>
    <row r="206" spans="18:29" x14ac:dyDescent="0.2">
      <c r="X206" s="83"/>
      <c r="Y206" s="83"/>
      <c r="Z206" s="83"/>
      <c r="AC206" s="83"/>
    </row>
    <row r="207" spans="18:29" x14ac:dyDescent="0.2">
      <c r="X207" s="83"/>
      <c r="Y207" s="83"/>
      <c r="Z207" s="83"/>
      <c r="AC207" s="83"/>
    </row>
    <row r="208" spans="18:29" x14ac:dyDescent="0.2">
      <c r="X208" s="83"/>
      <c r="Y208" s="83"/>
      <c r="Z208" s="83"/>
      <c r="AC208" s="83"/>
    </row>
    <row r="209" spans="24:29" x14ac:dyDescent="0.2">
      <c r="X209" s="83"/>
      <c r="Y209" s="83"/>
      <c r="Z209" s="83"/>
      <c r="AC209" s="83"/>
    </row>
    <row r="210" spans="24:29" x14ac:dyDescent="0.2">
      <c r="X210" s="83"/>
      <c r="Y210" s="83"/>
      <c r="Z210" s="83"/>
      <c r="AC210" s="83"/>
    </row>
    <row r="211" spans="24:29" x14ac:dyDescent="0.2">
      <c r="X211" s="83"/>
      <c r="Y211" s="83"/>
      <c r="Z211" s="83"/>
      <c r="AC211" s="83"/>
    </row>
    <row r="212" spans="24:29" x14ac:dyDescent="0.2">
      <c r="X212" s="83"/>
      <c r="Y212" s="83"/>
      <c r="Z212" s="83"/>
      <c r="AC212" s="83"/>
    </row>
    <row r="213" spans="24:29" x14ac:dyDescent="0.2">
      <c r="X213" s="83"/>
      <c r="Y213" s="83"/>
      <c r="Z213" s="83"/>
      <c r="AC213" s="83"/>
    </row>
    <row r="214" spans="24:29" x14ac:dyDescent="0.2">
      <c r="X214" s="83"/>
      <c r="Y214" s="83"/>
      <c r="Z214" s="83"/>
      <c r="AC214" s="83"/>
    </row>
    <row r="215" spans="24:29" x14ac:dyDescent="0.2">
      <c r="X215" s="83"/>
      <c r="Y215" s="83"/>
      <c r="Z215" s="83"/>
      <c r="AC215" s="83"/>
    </row>
    <row r="216" spans="24:29" x14ac:dyDescent="0.2">
      <c r="X216" s="83"/>
      <c r="Y216" s="83"/>
      <c r="Z216" s="83"/>
      <c r="AC216" s="83"/>
    </row>
    <row r="217" spans="24:29" x14ac:dyDescent="0.2">
      <c r="X217" s="83"/>
      <c r="Y217" s="83"/>
      <c r="Z217" s="83"/>
      <c r="AC217" s="83"/>
    </row>
    <row r="218" spans="24:29" x14ac:dyDescent="0.2">
      <c r="X218" s="83"/>
      <c r="Y218" s="83"/>
      <c r="Z218" s="83"/>
      <c r="AC218" s="83"/>
    </row>
    <row r="219" spans="24:29" x14ac:dyDescent="0.2">
      <c r="X219" s="83"/>
      <c r="Y219" s="83"/>
      <c r="Z219" s="83"/>
      <c r="AC219" s="83"/>
    </row>
    <row r="220" spans="24:29" x14ac:dyDescent="0.2">
      <c r="X220" s="83"/>
      <c r="Y220" s="83"/>
      <c r="Z220" s="83"/>
      <c r="AC220" s="83"/>
    </row>
    <row r="221" spans="24:29" x14ac:dyDescent="0.2">
      <c r="X221" s="83"/>
      <c r="Y221" s="83"/>
      <c r="Z221" s="83"/>
      <c r="AC221" s="83"/>
    </row>
    <row r="222" spans="24:29" x14ac:dyDescent="0.2">
      <c r="X222" s="83"/>
      <c r="Y222" s="83"/>
      <c r="Z222" s="83"/>
      <c r="AC222" s="83"/>
    </row>
    <row r="223" spans="24:29" x14ac:dyDescent="0.2">
      <c r="X223" s="83"/>
      <c r="Y223" s="83"/>
      <c r="Z223" s="83"/>
      <c r="AC223" s="83"/>
    </row>
    <row r="224" spans="24:29" x14ac:dyDescent="0.2">
      <c r="X224" s="83"/>
      <c r="Y224" s="83"/>
      <c r="Z224" s="83"/>
      <c r="AC224" s="83"/>
    </row>
    <row r="225" spans="24:29" x14ac:dyDescent="0.2">
      <c r="X225" s="83"/>
      <c r="Y225" s="83"/>
      <c r="Z225" s="83"/>
      <c r="AC225" s="83"/>
    </row>
    <row r="226" spans="24:29" x14ac:dyDescent="0.2">
      <c r="X226" s="83"/>
      <c r="Y226" s="83"/>
      <c r="Z226" s="83"/>
      <c r="AC226" s="83"/>
    </row>
    <row r="227" spans="24:29" x14ac:dyDescent="0.2">
      <c r="X227" s="83"/>
      <c r="Y227" s="83"/>
      <c r="Z227" s="83"/>
      <c r="AC227" s="83"/>
    </row>
    <row r="228" spans="24:29" x14ac:dyDescent="0.2">
      <c r="X228" s="83"/>
      <c r="Y228" s="83"/>
      <c r="Z228" s="83"/>
      <c r="AC228" s="83"/>
    </row>
    <row r="229" spans="24:29" x14ac:dyDescent="0.2">
      <c r="X229" s="83"/>
      <c r="Y229" s="83"/>
      <c r="Z229" s="83"/>
      <c r="AC229" s="83"/>
    </row>
    <row r="230" spans="24:29" x14ac:dyDescent="0.2">
      <c r="X230" s="83"/>
      <c r="Y230" s="83"/>
      <c r="Z230" s="83"/>
      <c r="AC230" s="83"/>
    </row>
    <row r="231" spans="24:29" x14ac:dyDescent="0.2">
      <c r="X231" s="83"/>
      <c r="Y231" s="83"/>
      <c r="Z231" s="83"/>
      <c r="AC231" s="83"/>
    </row>
    <row r="232" spans="24:29" x14ac:dyDescent="0.2">
      <c r="X232" s="83"/>
      <c r="Y232" s="83"/>
      <c r="Z232" s="83"/>
      <c r="AC232" s="83"/>
    </row>
    <row r="233" spans="24:29" x14ac:dyDescent="0.2">
      <c r="X233" s="83"/>
      <c r="Y233" s="83"/>
      <c r="Z233" s="83"/>
      <c r="AC233" s="83"/>
    </row>
    <row r="234" spans="24:29" x14ac:dyDescent="0.2">
      <c r="X234" s="83"/>
      <c r="Y234" s="83"/>
      <c r="Z234" s="83"/>
      <c r="AC234" s="83"/>
    </row>
    <row r="235" spans="24:29" x14ac:dyDescent="0.2">
      <c r="X235" s="83"/>
      <c r="Y235" s="83"/>
      <c r="Z235" s="83"/>
      <c r="AC235" s="83"/>
    </row>
    <row r="236" spans="24:29" x14ac:dyDescent="0.2">
      <c r="X236" s="83"/>
      <c r="Y236" s="83"/>
      <c r="Z236" s="83"/>
      <c r="AC236" s="83"/>
    </row>
    <row r="237" spans="24:29" x14ac:dyDescent="0.2">
      <c r="X237" s="83"/>
      <c r="Y237" s="83"/>
      <c r="Z237" s="83"/>
      <c r="AC237" s="83"/>
    </row>
    <row r="238" spans="24:29" x14ac:dyDescent="0.2">
      <c r="X238" s="83"/>
      <c r="Y238" s="83"/>
      <c r="Z238" s="83"/>
      <c r="AC238" s="83"/>
    </row>
    <row r="239" spans="24:29" x14ac:dyDescent="0.2">
      <c r="X239" s="83"/>
      <c r="Y239" s="83"/>
      <c r="Z239" s="83"/>
      <c r="AC239" s="83"/>
    </row>
    <row r="240" spans="24:29" x14ac:dyDescent="0.2">
      <c r="X240" s="83"/>
      <c r="Y240" s="83"/>
      <c r="Z240" s="83"/>
      <c r="AC240" s="83"/>
    </row>
    <row r="241" spans="24:29" x14ac:dyDescent="0.2">
      <c r="X241" s="83"/>
      <c r="Y241" s="83"/>
      <c r="Z241" s="83"/>
      <c r="AC241" s="83"/>
    </row>
    <row r="242" spans="24:29" x14ac:dyDescent="0.2">
      <c r="X242" s="83"/>
      <c r="Y242" s="83"/>
      <c r="Z242" s="83"/>
      <c r="AC242" s="83"/>
    </row>
    <row r="243" spans="24:29" x14ac:dyDescent="0.2">
      <c r="X243" s="83"/>
      <c r="Y243" s="83"/>
      <c r="Z243" s="83"/>
      <c r="AC243" s="83"/>
    </row>
    <row r="244" spans="24:29" x14ac:dyDescent="0.2">
      <c r="X244" s="83"/>
      <c r="Y244" s="83"/>
      <c r="Z244" s="83"/>
      <c r="AC244" s="83"/>
    </row>
    <row r="245" spans="24:29" x14ac:dyDescent="0.2">
      <c r="X245" s="83"/>
      <c r="Y245" s="83"/>
      <c r="Z245" s="83"/>
      <c r="AC245" s="83"/>
    </row>
    <row r="246" spans="24:29" x14ac:dyDescent="0.2">
      <c r="X246" s="83"/>
      <c r="Y246" s="83"/>
      <c r="Z246" s="83"/>
      <c r="AC246" s="83"/>
    </row>
    <row r="247" spans="24:29" x14ac:dyDescent="0.2">
      <c r="X247" s="83"/>
      <c r="Y247" s="83"/>
      <c r="Z247" s="83"/>
      <c r="AC247" s="83"/>
    </row>
    <row r="248" spans="24:29" x14ac:dyDescent="0.2">
      <c r="X248" s="83"/>
      <c r="Y248" s="83"/>
      <c r="Z248" s="83"/>
      <c r="AC248" s="83"/>
    </row>
    <row r="249" spans="24:29" x14ac:dyDescent="0.2">
      <c r="X249" s="83"/>
      <c r="Y249" s="83"/>
      <c r="Z249" s="83"/>
      <c r="AC249" s="83"/>
    </row>
    <row r="250" spans="24:29" x14ac:dyDescent="0.2">
      <c r="X250" s="83"/>
      <c r="Y250" s="83"/>
      <c r="Z250" s="83"/>
      <c r="AC250" s="83"/>
    </row>
    <row r="251" spans="24:29" x14ac:dyDescent="0.2">
      <c r="X251" s="83"/>
      <c r="Y251" s="83"/>
      <c r="Z251" s="83"/>
      <c r="AC251" s="83"/>
    </row>
    <row r="252" spans="24:29" x14ac:dyDescent="0.2">
      <c r="X252" s="83"/>
      <c r="Y252" s="83"/>
      <c r="Z252" s="83"/>
      <c r="AC252" s="83"/>
    </row>
    <row r="253" spans="24:29" x14ac:dyDescent="0.2">
      <c r="X253" s="83"/>
      <c r="Y253" s="83"/>
      <c r="Z253" s="83"/>
      <c r="AC253" s="83"/>
    </row>
    <row r="254" spans="24:29" x14ac:dyDescent="0.2">
      <c r="X254" s="83"/>
      <c r="Y254" s="83"/>
      <c r="Z254" s="83"/>
      <c r="AC254" s="83"/>
    </row>
    <row r="255" spans="24:29" x14ac:dyDescent="0.2">
      <c r="X255" s="83"/>
      <c r="Y255" s="83"/>
      <c r="Z255" s="83"/>
      <c r="AC255" s="83"/>
    </row>
    <row r="256" spans="24:29" x14ac:dyDescent="0.2">
      <c r="X256" s="83"/>
      <c r="Y256" s="83"/>
      <c r="Z256" s="83"/>
      <c r="AC256" s="83"/>
    </row>
    <row r="257" spans="24:29" x14ac:dyDescent="0.2">
      <c r="X257" s="83"/>
      <c r="Y257" s="83"/>
      <c r="Z257" s="83"/>
      <c r="AC257" s="83"/>
    </row>
    <row r="258" spans="24:29" x14ac:dyDescent="0.2">
      <c r="X258" s="83"/>
      <c r="Y258" s="83"/>
      <c r="Z258" s="83"/>
      <c r="AC258" s="83"/>
    </row>
    <row r="259" spans="24:29" x14ac:dyDescent="0.2">
      <c r="X259" s="83"/>
      <c r="Y259" s="83"/>
      <c r="Z259" s="83"/>
      <c r="AC259" s="83"/>
    </row>
    <row r="260" spans="24:29" x14ac:dyDescent="0.2">
      <c r="X260" s="83"/>
      <c r="Y260" s="83"/>
      <c r="Z260" s="83"/>
      <c r="AC260" s="83"/>
    </row>
    <row r="261" spans="24:29" x14ac:dyDescent="0.2">
      <c r="X261" s="83"/>
      <c r="Y261" s="83"/>
      <c r="Z261" s="83"/>
      <c r="AC261" s="83"/>
    </row>
    <row r="262" spans="24:29" x14ac:dyDescent="0.2">
      <c r="X262" s="83"/>
      <c r="Y262" s="83"/>
      <c r="Z262" s="83"/>
      <c r="AC262" s="83"/>
    </row>
    <row r="263" spans="24:29" x14ac:dyDescent="0.2">
      <c r="X263" s="83"/>
      <c r="Y263" s="83"/>
      <c r="Z263" s="83"/>
      <c r="AC263" s="83"/>
    </row>
    <row r="264" spans="24:29" x14ac:dyDescent="0.2">
      <c r="X264" s="83"/>
      <c r="Y264" s="83"/>
      <c r="Z264" s="83"/>
      <c r="AC264" s="83"/>
    </row>
    <row r="265" spans="24:29" x14ac:dyDescent="0.2">
      <c r="X265" s="83"/>
      <c r="Y265" s="83"/>
      <c r="Z265" s="83"/>
      <c r="AC265" s="83"/>
    </row>
    <row r="266" spans="24:29" x14ac:dyDescent="0.2">
      <c r="X266" s="83"/>
      <c r="Y266" s="83"/>
      <c r="Z266" s="83"/>
      <c r="AC266" s="83"/>
    </row>
    <row r="267" spans="24:29" x14ac:dyDescent="0.2">
      <c r="X267" s="83"/>
      <c r="Y267" s="83"/>
      <c r="Z267" s="83"/>
      <c r="AC267" s="83"/>
    </row>
    <row r="268" spans="24:29" x14ac:dyDescent="0.2">
      <c r="X268" s="83"/>
      <c r="Y268" s="83"/>
      <c r="Z268" s="83"/>
      <c r="AC268" s="83"/>
    </row>
    <row r="269" spans="24:29" x14ac:dyDescent="0.2">
      <c r="X269" s="83"/>
      <c r="Y269" s="83"/>
      <c r="Z269" s="83"/>
      <c r="AC269" s="83"/>
    </row>
    <row r="270" spans="24:29" x14ac:dyDescent="0.2">
      <c r="X270" s="83"/>
      <c r="Y270" s="83"/>
      <c r="Z270" s="83"/>
      <c r="AC270" s="83"/>
    </row>
    <row r="271" spans="24:29" x14ac:dyDescent="0.2">
      <c r="X271" s="83"/>
      <c r="Y271" s="83"/>
      <c r="Z271" s="83"/>
      <c r="AC271" s="83"/>
    </row>
    <row r="272" spans="24:29" x14ac:dyDescent="0.2">
      <c r="X272" s="83"/>
      <c r="Y272" s="83"/>
      <c r="Z272" s="83"/>
      <c r="AC272" s="83"/>
    </row>
    <row r="273" spans="24:29" x14ac:dyDescent="0.2">
      <c r="X273" s="83"/>
      <c r="Y273" s="83"/>
      <c r="Z273" s="83"/>
      <c r="AC273" s="83"/>
    </row>
    <row r="274" spans="24:29" x14ac:dyDescent="0.2">
      <c r="X274" s="83"/>
      <c r="Y274" s="83"/>
      <c r="Z274" s="83"/>
      <c r="AC274" s="83"/>
    </row>
    <row r="275" spans="24:29" x14ac:dyDescent="0.2">
      <c r="X275" s="83"/>
      <c r="Y275" s="83"/>
      <c r="Z275" s="83"/>
      <c r="AC275" s="83"/>
    </row>
    <row r="276" spans="24:29" x14ac:dyDescent="0.2">
      <c r="X276" s="83"/>
      <c r="Y276" s="83"/>
      <c r="Z276" s="83"/>
      <c r="AC276" s="83"/>
    </row>
    <row r="277" spans="24:29" x14ac:dyDescent="0.2">
      <c r="X277" s="83"/>
      <c r="Y277" s="83"/>
      <c r="Z277" s="83"/>
      <c r="AC277" s="83"/>
    </row>
    <row r="278" spans="24:29" x14ac:dyDescent="0.2">
      <c r="X278" s="83"/>
      <c r="Y278" s="83"/>
      <c r="Z278" s="83"/>
      <c r="AC278" s="83"/>
    </row>
    <row r="279" spans="24:29" x14ac:dyDescent="0.2">
      <c r="X279" s="83"/>
      <c r="Y279" s="83"/>
      <c r="Z279" s="83"/>
      <c r="AC279" s="83"/>
    </row>
    <row r="280" spans="24:29" x14ac:dyDescent="0.2">
      <c r="X280" s="83"/>
      <c r="Y280" s="83"/>
      <c r="Z280" s="83"/>
      <c r="AC280" s="83"/>
    </row>
    <row r="281" spans="24:29" x14ac:dyDescent="0.2">
      <c r="X281" s="83"/>
      <c r="Y281" s="83"/>
      <c r="Z281" s="83"/>
      <c r="AC281" s="83"/>
    </row>
    <row r="282" spans="24:29" x14ac:dyDescent="0.2">
      <c r="X282" s="83"/>
      <c r="Y282" s="83"/>
      <c r="Z282" s="83"/>
      <c r="AC282" s="83"/>
    </row>
    <row r="283" spans="24:29" x14ac:dyDescent="0.2">
      <c r="X283" s="83"/>
      <c r="Y283" s="83"/>
      <c r="Z283" s="83"/>
      <c r="AC283" s="83"/>
    </row>
    <row r="284" spans="24:29" x14ac:dyDescent="0.2">
      <c r="X284" s="83"/>
      <c r="Y284" s="83"/>
      <c r="Z284" s="83"/>
      <c r="AC284" s="83"/>
    </row>
    <row r="285" spans="24:29" x14ac:dyDescent="0.2">
      <c r="X285" s="83"/>
      <c r="Y285" s="83"/>
      <c r="Z285" s="83"/>
      <c r="AC285" s="83"/>
    </row>
    <row r="286" spans="24:29" x14ac:dyDescent="0.2">
      <c r="X286" s="83"/>
      <c r="Y286" s="83"/>
      <c r="Z286" s="83"/>
      <c r="AC286" s="83"/>
    </row>
    <row r="287" spans="24:29" x14ac:dyDescent="0.2">
      <c r="X287" s="83"/>
      <c r="Y287" s="83"/>
      <c r="Z287" s="83"/>
      <c r="AC287" s="83"/>
    </row>
    <row r="288" spans="24:29" x14ac:dyDescent="0.2">
      <c r="X288" s="83"/>
      <c r="Y288" s="83"/>
      <c r="Z288" s="83"/>
      <c r="AC288" s="83"/>
    </row>
    <row r="289" spans="24:29" x14ac:dyDescent="0.2">
      <c r="X289" s="83"/>
      <c r="Y289" s="83"/>
      <c r="Z289" s="83"/>
      <c r="AC289" s="83"/>
    </row>
    <row r="290" spans="24:29" x14ac:dyDescent="0.2">
      <c r="X290" s="83"/>
      <c r="Y290" s="83"/>
      <c r="Z290" s="83"/>
      <c r="AC290" s="83"/>
    </row>
    <row r="291" spans="24:29" x14ac:dyDescent="0.2">
      <c r="X291" s="83"/>
      <c r="Y291" s="83"/>
      <c r="Z291" s="83"/>
      <c r="AC291" s="83"/>
    </row>
    <row r="292" spans="24:29" x14ac:dyDescent="0.2">
      <c r="X292" s="83"/>
      <c r="Y292" s="83"/>
      <c r="Z292" s="83"/>
      <c r="AC292" s="83"/>
    </row>
    <row r="293" spans="24:29" x14ac:dyDescent="0.2">
      <c r="X293" s="83"/>
      <c r="Y293" s="83"/>
      <c r="Z293" s="83"/>
      <c r="AC293" s="83"/>
    </row>
    <row r="294" spans="24:29" x14ac:dyDescent="0.2">
      <c r="X294" s="83"/>
      <c r="Y294" s="83"/>
      <c r="Z294" s="83"/>
      <c r="AC294" s="83"/>
    </row>
    <row r="295" spans="24:29" x14ac:dyDescent="0.2">
      <c r="X295" s="83"/>
      <c r="Y295" s="83"/>
      <c r="Z295" s="83"/>
      <c r="AC295" s="83"/>
    </row>
    <row r="296" spans="24:29" x14ac:dyDescent="0.2">
      <c r="X296" s="83"/>
      <c r="Y296" s="83"/>
      <c r="Z296" s="83"/>
      <c r="AC296" s="83"/>
    </row>
    <row r="297" spans="24:29" x14ac:dyDescent="0.2">
      <c r="X297" s="83"/>
      <c r="Y297" s="83"/>
      <c r="Z297" s="83"/>
      <c r="AC297" s="83"/>
    </row>
    <row r="298" spans="24:29" x14ac:dyDescent="0.2">
      <c r="X298" s="83"/>
      <c r="Y298" s="83"/>
      <c r="Z298" s="83"/>
      <c r="AC298" s="83"/>
    </row>
    <row r="299" spans="24:29" x14ac:dyDescent="0.2">
      <c r="X299" s="83"/>
      <c r="Y299" s="83"/>
      <c r="Z299" s="83"/>
      <c r="AC299" s="83"/>
    </row>
    <row r="300" spans="24:29" x14ac:dyDescent="0.2">
      <c r="X300" s="83"/>
      <c r="Y300" s="83"/>
      <c r="Z300" s="83"/>
      <c r="AC300" s="83"/>
    </row>
    <row r="301" spans="24:29" x14ac:dyDescent="0.2">
      <c r="X301" s="83"/>
      <c r="Y301" s="83"/>
      <c r="Z301" s="83"/>
      <c r="AC301" s="83"/>
    </row>
    <row r="302" spans="24:29" x14ac:dyDescent="0.2">
      <c r="X302" s="83"/>
      <c r="Y302" s="83"/>
      <c r="Z302" s="83"/>
      <c r="AC302" s="83"/>
    </row>
    <row r="303" spans="24:29" x14ac:dyDescent="0.2">
      <c r="X303" s="83"/>
      <c r="Y303" s="83"/>
      <c r="Z303" s="83"/>
      <c r="AC303" s="83"/>
    </row>
    <row r="304" spans="24:29" x14ac:dyDescent="0.2">
      <c r="X304" s="83"/>
      <c r="Y304" s="83"/>
      <c r="Z304" s="83"/>
      <c r="AC304" s="83"/>
    </row>
    <row r="305" spans="24:29" x14ac:dyDescent="0.2">
      <c r="X305" s="83"/>
      <c r="Y305" s="83"/>
      <c r="Z305" s="83"/>
      <c r="AC305" s="83"/>
    </row>
    <row r="306" spans="24:29" x14ac:dyDescent="0.2">
      <c r="X306" s="83"/>
      <c r="Y306" s="83"/>
      <c r="Z306" s="83"/>
      <c r="AC306" s="83"/>
    </row>
    <row r="307" spans="24:29" x14ac:dyDescent="0.2">
      <c r="X307" s="83"/>
      <c r="Y307" s="83"/>
      <c r="Z307" s="83"/>
      <c r="AC307" s="83"/>
    </row>
    <row r="308" spans="24:29" x14ac:dyDescent="0.2">
      <c r="X308" s="83"/>
      <c r="Y308" s="83"/>
      <c r="Z308" s="83"/>
      <c r="AC308" s="83"/>
    </row>
    <row r="309" spans="24:29" x14ac:dyDescent="0.2">
      <c r="X309" s="83"/>
      <c r="Y309" s="83"/>
      <c r="Z309" s="83"/>
      <c r="AC309" s="83"/>
    </row>
    <row r="310" spans="24:29" x14ac:dyDescent="0.2">
      <c r="X310" s="83"/>
      <c r="Y310" s="83"/>
      <c r="Z310" s="83"/>
      <c r="AC310" s="83"/>
    </row>
    <row r="311" spans="24:29" x14ac:dyDescent="0.2">
      <c r="X311" s="83"/>
      <c r="Y311" s="83"/>
      <c r="Z311" s="83"/>
      <c r="AC311" s="83"/>
    </row>
    <row r="312" spans="24:29" x14ac:dyDescent="0.2">
      <c r="X312" s="83"/>
      <c r="Y312" s="83"/>
      <c r="Z312" s="83"/>
      <c r="AC312" s="83"/>
    </row>
    <row r="313" spans="24:29" x14ac:dyDescent="0.2">
      <c r="X313" s="83"/>
      <c r="Y313" s="83"/>
      <c r="Z313" s="83"/>
      <c r="AC313" s="83"/>
    </row>
    <row r="314" spans="24:29" x14ac:dyDescent="0.2">
      <c r="X314" s="83"/>
      <c r="Y314" s="83"/>
      <c r="Z314" s="83"/>
      <c r="AC314" s="83"/>
    </row>
    <row r="315" spans="24:29" x14ac:dyDescent="0.2">
      <c r="X315" s="83"/>
      <c r="Y315" s="83"/>
      <c r="Z315" s="83"/>
      <c r="AC315" s="83"/>
    </row>
    <row r="316" spans="24:29" x14ac:dyDescent="0.2">
      <c r="X316" s="83"/>
      <c r="Y316" s="83"/>
      <c r="Z316" s="83"/>
      <c r="AC316" s="83"/>
    </row>
    <row r="317" spans="24:29" x14ac:dyDescent="0.2">
      <c r="X317" s="83"/>
      <c r="Y317" s="83"/>
      <c r="Z317" s="83"/>
      <c r="AC317" s="83"/>
    </row>
    <row r="318" spans="24:29" x14ac:dyDescent="0.2">
      <c r="X318" s="83"/>
      <c r="Y318" s="83"/>
      <c r="Z318" s="83"/>
      <c r="AC318" s="83"/>
    </row>
    <row r="319" spans="24:29" x14ac:dyDescent="0.2">
      <c r="X319" s="83"/>
      <c r="Y319" s="83"/>
      <c r="Z319" s="83"/>
      <c r="AC319" s="83"/>
    </row>
    <row r="320" spans="24:29" x14ac:dyDescent="0.2">
      <c r="X320" s="83"/>
      <c r="Y320" s="83"/>
      <c r="Z320" s="83"/>
      <c r="AC320" s="83"/>
    </row>
    <row r="321" spans="24:29" x14ac:dyDescent="0.2">
      <c r="X321" s="83"/>
      <c r="Y321" s="83"/>
      <c r="Z321" s="83"/>
      <c r="AC321" s="83"/>
    </row>
    <row r="322" spans="24:29" x14ac:dyDescent="0.2">
      <c r="X322" s="83"/>
      <c r="Y322" s="83"/>
      <c r="Z322" s="83"/>
      <c r="AC322" s="83"/>
    </row>
    <row r="323" spans="24:29" x14ac:dyDescent="0.2">
      <c r="X323" s="83"/>
      <c r="Y323" s="83"/>
      <c r="Z323" s="83"/>
      <c r="AC323" s="83"/>
    </row>
    <row r="324" spans="24:29" x14ac:dyDescent="0.2">
      <c r="X324" s="83"/>
      <c r="Y324" s="83"/>
      <c r="Z324" s="83"/>
      <c r="AC324" s="83"/>
    </row>
    <row r="325" spans="24:29" x14ac:dyDescent="0.2">
      <c r="X325" s="83"/>
      <c r="Y325" s="83"/>
      <c r="Z325" s="83"/>
      <c r="AC325" s="83"/>
    </row>
    <row r="326" spans="24:29" x14ac:dyDescent="0.2">
      <c r="X326" s="83"/>
      <c r="Y326" s="83"/>
      <c r="Z326" s="83"/>
      <c r="AC326" s="83"/>
    </row>
    <row r="327" spans="24:29" x14ac:dyDescent="0.2">
      <c r="X327" s="83"/>
      <c r="Y327" s="83"/>
      <c r="Z327" s="83"/>
      <c r="AC327" s="83"/>
    </row>
    <row r="328" spans="24:29" x14ac:dyDescent="0.2">
      <c r="X328" s="83"/>
      <c r="Y328" s="83"/>
      <c r="Z328" s="83"/>
      <c r="AC328" s="83"/>
    </row>
    <row r="329" spans="24:29" x14ac:dyDescent="0.2">
      <c r="X329" s="83"/>
      <c r="Y329" s="83"/>
      <c r="Z329" s="83"/>
      <c r="AC329" s="83"/>
    </row>
    <row r="330" spans="24:29" x14ac:dyDescent="0.2">
      <c r="X330" s="83"/>
      <c r="Y330" s="83"/>
      <c r="Z330" s="83"/>
      <c r="AC330" s="83"/>
    </row>
    <row r="331" spans="24:29" x14ac:dyDescent="0.2">
      <c r="X331" s="83"/>
      <c r="Y331" s="83"/>
      <c r="Z331" s="83"/>
      <c r="AC331" s="83"/>
    </row>
    <row r="332" spans="24:29" x14ac:dyDescent="0.2">
      <c r="X332" s="83"/>
      <c r="Y332" s="83"/>
      <c r="Z332" s="83"/>
      <c r="AC332" s="83"/>
    </row>
    <row r="333" spans="24:29" x14ac:dyDescent="0.2">
      <c r="X333" s="83"/>
      <c r="Y333" s="83"/>
      <c r="Z333" s="83"/>
      <c r="AC333" s="83"/>
    </row>
    <row r="334" spans="24:29" x14ac:dyDescent="0.2">
      <c r="X334" s="83"/>
      <c r="Y334" s="83"/>
      <c r="Z334" s="83"/>
      <c r="AC334" s="83"/>
    </row>
    <row r="335" spans="24:29" x14ac:dyDescent="0.2">
      <c r="X335" s="83"/>
      <c r="Y335" s="83"/>
      <c r="Z335" s="83"/>
      <c r="AC335" s="83"/>
    </row>
    <row r="336" spans="24:29" x14ac:dyDescent="0.2">
      <c r="X336" s="83"/>
      <c r="Y336" s="83"/>
      <c r="Z336" s="83"/>
      <c r="AC336" s="83"/>
    </row>
    <row r="337" spans="24:29" x14ac:dyDescent="0.2">
      <c r="X337" s="83"/>
      <c r="Y337" s="83"/>
      <c r="Z337" s="83"/>
      <c r="AC337" s="83"/>
    </row>
    <row r="338" spans="24:29" x14ac:dyDescent="0.2">
      <c r="X338" s="83"/>
      <c r="Y338" s="83"/>
      <c r="Z338" s="83"/>
      <c r="AC338" s="83"/>
    </row>
    <row r="339" spans="24:29" x14ac:dyDescent="0.2">
      <c r="X339" s="83"/>
      <c r="Y339" s="83"/>
      <c r="Z339" s="83"/>
      <c r="AC339" s="83"/>
    </row>
    <row r="340" spans="24:29" x14ac:dyDescent="0.2">
      <c r="X340" s="83"/>
      <c r="Y340" s="83"/>
      <c r="Z340" s="83"/>
      <c r="AC340" s="83"/>
    </row>
    <row r="341" spans="24:29" x14ac:dyDescent="0.2">
      <c r="X341" s="83"/>
      <c r="Y341" s="83"/>
      <c r="Z341" s="83"/>
      <c r="AC341" s="83"/>
    </row>
    <row r="342" spans="24:29" x14ac:dyDescent="0.2">
      <c r="X342" s="83"/>
      <c r="Y342" s="83"/>
      <c r="Z342" s="83"/>
      <c r="AC342" s="83"/>
    </row>
    <row r="343" spans="24:29" x14ac:dyDescent="0.2">
      <c r="X343" s="83"/>
      <c r="Y343" s="83"/>
      <c r="Z343" s="83"/>
      <c r="AC343" s="83"/>
    </row>
    <row r="344" spans="24:29" x14ac:dyDescent="0.2">
      <c r="X344" s="83"/>
      <c r="Y344" s="83"/>
      <c r="Z344" s="83"/>
      <c r="AC344" s="83"/>
    </row>
    <row r="345" spans="24:29" x14ac:dyDescent="0.2">
      <c r="X345" s="83"/>
      <c r="Y345" s="83"/>
      <c r="Z345" s="83"/>
      <c r="AC345" s="83"/>
    </row>
    <row r="346" spans="24:29" x14ac:dyDescent="0.2">
      <c r="X346" s="83"/>
      <c r="Y346" s="83"/>
      <c r="Z346" s="83"/>
      <c r="AC346" s="83"/>
    </row>
    <row r="347" spans="24:29" x14ac:dyDescent="0.2">
      <c r="X347" s="83"/>
      <c r="Y347" s="83"/>
      <c r="Z347" s="83"/>
      <c r="AC347" s="83"/>
    </row>
    <row r="348" spans="24:29" x14ac:dyDescent="0.2">
      <c r="X348" s="83"/>
      <c r="Y348" s="83"/>
      <c r="Z348" s="83"/>
      <c r="AC348" s="83"/>
    </row>
    <row r="349" spans="24:29" x14ac:dyDescent="0.2">
      <c r="X349" s="83"/>
      <c r="Y349" s="83"/>
      <c r="Z349" s="83"/>
      <c r="AC349" s="83"/>
    </row>
    <row r="350" spans="24:29" x14ac:dyDescent="0.2">
      <c r="X350" s="83"/>
      <c r="Y350" s="83"/>
      <c r="Z350" s="83"/>
      <c r="AC350" s="83"/>
    </row>
    <row r="351" spans="24:29" x14ac:dyDescent="0.2">
      <c r="X351" s="83"/>
      <c r="Y351" s="83"/>
      <c r="Z351" s="83"/>
      <c r="AC351" s="83"/>
    </row>
    <row r="352" spans="24:29" x14ac:dyDescent="0.2">
      <c r="X352" s="83"/>
      <c r="Y352" s="83"/>
      <c r="Z352" s="83"/>
      <c r="AC352" s="83"/>
    </row>
    <row r="353" spans="24:29" x14ac:dyDescent="0.2">
      <c r="X353" s="83"/>
      <c r="Y353" s="83"/>
      <c r="Z353" s="83"/>
      <c r="AC353" s="83"/>
    </row>
    <row r="354" spans="24:29" x14ac:dyDescent="0.2">
      <c r="X354" s="83"/>
      <c r="Y354" s="83"/>
      <c r="Z354" s="83"/>
      <c r="AC354" s="83"/>
    </row>
    <row r="355" spans="24:29" x14ac:dyDescent="0.2">
      <c r="X355" s="83"/>
      <c r="Y355" s="83"/>
      <c r="Z355" s="83"/>
      <c r="AC355" s="83"/>
    </row>
    <row r="356" spans="24:29" x14ac:dyDescent="0.2">
      <c r="X356" s="83"/>
      <c r="Y356" s="83"/>
      <c r="Z356" s="83"/>
      <c r="AC356" s="83"/>
    </row>
    <row r="357" spans="24:29" x14ac:dyDescent="0.2">
      <c r="X357" s="83"/>
      <c r="Y357" s="83"/>
      <c r="Z357" s="83"/>
      <c r="AC357" s="83"/>
    </row>
    <row r="358" spans="24:29" x14ac:dyDescent="0.2">
      <c r="X358" s="83"/>
      <c r="Y358" s="83"/>
      <c r="Z358" s="83"/>
      <c r="AC358" s="83"/>
    </row>
    <row r="359" spans="24:29" x14ac:dyDescent="0.2">
      <c r="X359" s="83"/>
      <c r="Y359" s="83"/>
      <c r="Z359" s="83"/>
      <c r="AC359" s="83"/>
    </row>
    <row r="360" spans="24:29" x14ac:dyDescent="0.2">
      <c r="X360" s="83"/>
      <c r="Y360" s="83"/>
      <c r="Z360" s="83"/>
      <c r="AC360" s="83"/>
    </row>
    <row r="361" spans="24:29" x14ac:dyDescent="0.2">
      <c r="X361" s="83"/>
      <c r="Y361" s="83"/>
      <c r="Z361" s="83"/>
      <c r="AC361" s="83"/>
    </row>
    <row r="362" spans="24:29" x14ac:dyDescent="0.2">
      <c r="X362" s="83"/>
      <c r="Y362" s="83"/>
      <c r="Z362" s="83"/>
      <c r="AC362" s="83"/>
    </row>
    <row r="363" spans="24:29" x14ac:dyDescent="0.2">
      <c r="X363" s="83"/>
      <c r="Y363" s="83"/>
      <c r="Z363" s="83"/>
      <c r="AC363" s="83"/>
    </row>
    <row r="364" spans="24:29" x14ac:dyDescent="0.2">
      <c r="X364" s="83"/>
      <c r="Y364" s="83"/>
      <c r="Z364" s="83"/>
      <c r="AC364" s="83"/>
    </row>
    <row r="365" spans="24:29" x14ac:dyDescent="0.2">
      <c r="X365" s="83"/>
      <c r="Y365" s="83"/>
      <c r="Z365" s="83"/>
      <c r="AC365" s="83"/>
    </row>
    <row r="366" spans="24:29" x14ac:dyDescent="0.2">
      <c r="X366" s="83"/>
      <c r="Y366" s="83"/>
      <c r="Z366" s="83"/>
      <c r="AC366" s="83"/>
    </row>
    <row r="367" spans="24:29" x14ac:dyDescent="0.2">
      <c r="X367" s="83"/>
      <c r="Y367" s="83"/>
      <c r="Z367" s="83"/>
      <c r="AC367" s="83"/>
    </row>
    <row r="368" spans="24:29" x14ac:dyDescent="0.2">
      <c r="X368" s="83"/>
      <c r="Y368" s="83"/>
      <c r="Z368" s="83"/>
      <c r="AC368" s="83"/>
    </row>
    <row r="369" spans="24:29" x14ac:dyDescent="0.2">
      <c r="X369" s="83"/>
      <c r="Y369" s="83"/>
      <c r="Z369" s="83"/>
      <c r="AC369" s="83"/>
    </row>
    <row r="370" spans="24:29" x14ac:dyDescent="0.2">
      <c r="X370" s="83"/>
      <c r="Y370" s="83"/>
      <c r="Z370" s="83"/>
      <c r="AC370" s="83"/>
    </row>
    <row r="371" spans="24:29" x14ac:dyDescent="0.2">
      <c r="X371" s="83"/>
      <c r="Y371" s="83"/>
      <c r="Z371" s="83"/>
      <c r="AC371" s="83"/>
    </row>
    <row r="372" spans="24:29" x14ac:dyDescent="0.2">
      <c r="X372" s="83"/>
      <c r="Y372" s="83"/>
      <c r="Z372" s="83"/>
      <c r="AC372" s="83"/>
    </row>
    <row r="373" spans="24:29" x14ac:dyDescent="0.2">
      <c r="X373" s="83"/>
      <c r="Y373" s="83"/>
      <c r="Z373" s="83"/>
      <c r="AC373" s="83"/>
    </row>
    <row r="374" spans="24:29" x14ac:dyDescent="0.2">
      <c r="X374" s="83"/>
      <c r="Y374" s="83"/>
      <c r="Z374" s="83"/>
      <c r="AC374" s="83"/>
    </row>
    <row r="375" spans="24:29" x14ac:dyDescent="0.2">
      <c r="X375" s="83"/>
      <c r="Y375" s="83"/>
      <c r="Z375" s="83"/>
      <c r="AC375" s="83"/>
    </row>
    <row r="376" spans="24:29" x14ac:dyDescent="0.2">
      <c r="X376" s="83"/>
      <c r="Y376" s="83"/>
      <c r="Z376" s="83"/>
      <c r="AC376" s="83"/>
    </row>
    <row r="377" spans="24:29" x14ac:dyDescent="0.2">
      <c r="X377" s="83"/>
      <c r="Y377" s="83"/>
      <c r="Z377" s="83"/>
      <c r="AC377" s="83"/>
    </row>
    <row r="378" spans="24:29" x14ac:dyDescent="0.2">
      <c r="X378" s="83"/>
      <c r="Y378" s="83"/>
      <c r="Z378" s="83"/>
      <c r="AC378" s="83"/>
    </row>
    <row r="379" spans="24:29" x14ac:dyDescent="0.2">
      <c r="X379" s="83"/>
      <c r="Y379" s="83"/>
      <c r="Z379" s="83"/>
      <c r="AC379" s="83"/>
    </row>
    <row r="380" spans="24:29" x14ac:dyDescent="0.2">
      <c r="X380" s="83"/>
      <c r="Y380" s="83"/>
      <c r="Z380" s="83"/>
      <c r="AC380" s="83"/>
    </row>
    <row r="381" spans="24:29" x14ac:dyDescent="0.2">
      <c r="X381" s="83"/>
      <c r="Y381" s="83"/>
      <c r="Z381" s="83"/>
      <c r="AC381" s="83"/>
    </row>
    <row r="382" spans="24:29" x14ac:dyDescent="0.2">
      <c r="X382" s="83"/>
      <c r="Y382" s="83"/>
      <c r="Z382" s="83"/>
      <c r="AC382" s="83"/>
    </row>
    <row r="383" spans="24:29" x14ac:dyDescent="0.2">
      <c r="X383" s="83"/>
      <c r="Y383" s="83"/>
      <c r="Z383" s="83"/>
      <c r="AC383" s="83"/>
    </row>
    <row r="384" spans="24:29" x14ac:dyDescent="0.2">
      <c r="X384" s="83"/>
      <c r="Y384" s="83"/>
      <c r="Z384" s="83"/>
      <c r="AC384" s="83"/>
    </row>
    <row r="385" spans="24:29" x14ac:dyDescent="0.2">
      <c r="X385" s="83"/>
      <c r="Y385" s="83"/>
      <c r="Z385" s="83"/>
      <c r="AC385" s="83"/>
    </row>
    <row r="386" spans="24:29" x14ac:dyDescent="0.2">
      <c r="X386" s="83"/>
      <c r="Y386" s="83"/>
      <c r="Z386" s="83"/>
      <c r="AC386" s="83"/>
    </row>
    <row r="387" spans="24:29" x14ac:dyDescent="0.2">
      <c r="X387" s="83"/>
      <c r="Y387" s="83"/>
      <c r="Z387" s="83"/>
      <c r="AC387" s="83"/>
    </row>
    <row r="388" spans="24:29" x14ac:dyDescent="0.2">
      <c r="X388" s="240"/>
      <c r="AC388" s="240"/>
    </row>
  </sheetData>
  <phoneticPr fontId="48" type="noConversion"/>
  <pageMargins left="0.23622047244094491" right="0.55118110236220474" top="0.19685039370078741" bottom="0.23622047244094491" header="0.15748031496062992" footer="0.15748031496062992"/>
  <pageSetup paperSize="9" scale="11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K634"/>
  <sheetViews>
    <sheetView zoomScale="106" zoomScaleNormal="106" workbookViewId="0">
      <pane xSplit="2" ySplit="1" topLeftCell="BU101" activePane="bottomRight" state="frozen"/>
      <selection activeCell="AD101" sqref="AD101"/>
      <selection pane="topRight" activeCell="AD101" sqref="AD101"/>
      <selection pane="bottomLeft" activeCell="AD101" sqref="AD101"/>
      <selection pane="bottomRight" activeCell="BX44" sqref="BX44"/>
    </sheetView>
  </sheetViews>
  <sheetFormatPr defaultRowHeight="15" x14ac:dyDescent="0.25"/>
  <cols>
    <col min="1" max="1" width="6.85546875" customWidth="1"/>
    <col min="2" max="2" width="52.5703125" style="451" customWidth="1"/>
    <col min="3" max="5" width="17.28515625" style="1" customWidth="1"/>
    <col min="6" max="6" width="15.7109375" style="13" customWidth="1"/>
    <col min="7" max="7" width="16.5703125" style="13" customWidth="1"/>
    <col min="8" max="9" width="15.7109375" style="13" customWidth="1"/>
    <col min="10" max="12" width="17.140625" style="1" customWidth="1"/>
    <col min="13" max="13" width="2.42578125" style="1" customWidth="1"/>
    <col min="14" max="14" width="12.42578125" customWidth="1"/>
    <col min="15" max="16" width="23.85546875" style="1" customWidth="1"/>
    <col min="17" max="17" width="21" style="1" customWidth="1"/>
    <col min="18" max="18" width="25.140625" style="1" customWidth="1"/>
    <col min="19" max="20" width="17.42578125" style="1" customWidth="1"/>
    <col min="21" max="21" width="19.7109375" style="1" customWidth="1"/>
    <col min="22" max="23" width="17.42578125" style="1" customWidth="1"/>
    <col min="24" max="24" width="24.85546875" style="120" customWidth="1"/>
    <col min="25" max="25" width="9.140625" customWidth="1"/>
    <col min="26" max="26" width="13.28515625" customWidth="1"/>
    <col min="27" max="27" width="15" customWidth="1"/>
    <col min="28" max="28" width="19.140625" style="1" customWidth="1"/>
    <col min="29" max="30" width="17.140625" style="1" customWidth="1"/>
    <col min="31" max="31" width="13.42578125" style="120" customWidth="1"/>
    <col min="32" max="32" width="16.28515625" style="1" customWidth="1"/>
    <col min="33" max="34" width="18.7109375" style="1" customWidth="1"/>
    <col min="35" max="35" width="18" style="262" customWidth="1"/>
    <col min="36" max="36" width="16.7109375" style="65" customWidth="1"/>
    <col min="37" max="37" width="23" style="55" customWidth="1"/>
    <col min="38" max="38" width="18.5703125" style="55" customWidth="1"/>
    <col min="39" max="39" width="22.42578125" customWidth="1"/>
    <col min="40" max="40" width="20.7109375" customWidth="1"/>
    <col min="41" max="41" width="17.42578125" customWidth="1"/>
    <col min="42" max="42" width="14.7109375" style="65" customWidth="1"/>
    <col min="43" max="43" width="14.28515625" style="65" customWidth="1"/>
    <col min="44" max="44" width="17.42578125" style="65" customWidth="1"/>
    <col min="45" max="45" width="15" customWidth="1"/>
    <col min="46" max="46" width="16.5703125" style="55" customWidth="1"/>
    <col min="47" max="47" width="17.42578125" style="54" customWidth="1"/>
    <col min="48" max="48" width="17" style="54" customWidth="1"/>
    <col min="49" max="49" width="18.5703125" style="55" customWidth="1"/>
    <col min="50" max="50" width="18.140625" style="1" customWidth="1"/>
    <col min="51" max="51" width="17" customWidth="1"/>
    <col min="52" max="52" width="16.7109375" style="1" customWidth="1"/>
    <col min="53" max="53" width="14" style="1" customWidth="1"/>
    <col min="54" max="54" width="19.140625" style="506" customWidth="1"/>
    <col min="55" max="55" width="19.7109375" style="501" customWidth="1"/>
    <col min="56" max="56" width="19.28515625" style="501" customWidth="1"/>
    <col min="57" max="57" width="19.42578125" style="506" customWidth="1"/>
    <col min="58" max="58" width="19.28515625" style="219" customWidth="1"/>
    <col min="59" max="59" width="16.5703125" style="362" customWidth="1"/>
    <col min="60" max="61" width="16.7109375" customWidth="1"/>
    <col min="62" max="62" width="17" style="14" hidden="1" customWidth="1"/>
    <col min="63" max="63" width="18.85546875" style="14" customWidth="1"/>
    <col min="64" max="66" width="18.7109375" customWidth="1"/>
    <col min="67" max="67" width="17" style="1" bestFit="1" customWidth="1"/>
    <col min="68" max="68" width="17" style="1" customWidth="1"/>
    <col min="69" max="69" width="18.42578125" customWidth="1"/>
    <col min="70" max="70" width="16.28515625" style="1" customWidth="1"/>
    <col min="71" max="71" width="18.5703125" customWidth="1"/>
    <col min="72" max="72" width="17.5703125" customWidth="1"/>
    <col min="73" max="73" width="19.28515625" style="729" customWidth="1"/>
    <col min="74" max="74" width="20.28515625" style="855" customWidth="1"/>
    <col min="77" max="77" width="12.7109375" customWidth="1"/>
    <col min="78" max="78" width="10.7109375" bestFit="1" customWidth="1"/>
  </cols>
  <sheetData>
    <row r="1" spans="1:74" ht="45" x14ac:dyDescent="0.25">
      <c r="A1" s="54"/>
      <c r="B1" s="670" t="s">
        <v>319</v>
      </c>
      <c r="C1" s="55" t="s">
        <v>0</v>
      </c>
      <c r="D1" s="55" t="s">
        <v>1</v>
      </c>
      <c r="E1" s="55" t="s">
        <v>2</v>
      </c>
      <c r="F1" s="56" t="s">
        <v>205</v>
      </c>
      <c r="G1" s="57" t="s">
        <v>225</v>
      </c>
      <c r="H1" s="56" t="s">
        <v>224</v>
      </c>
      <c r="I1" s="56" t="s">
        <v>313</v>
      </c>
      <c r="J1" s="55" t="s">
        <v>311</v>
      </c>
      <c r="K1" s="55" t="s">
        <v>312</v>
      </c>
      <c r="L1" s="55" t="s">
        <v>317</v>
      </c>
      <c r="O1" s="55" t="s">
        <v>324</v>
      </c>
      <c r="P1" s="55" t="s">
        <v>325</v>
      </c>
      <c r="Q1" s="55" t="s">
        <v>343</v>
      </c>
      <c r="R1" s="65" t="s">
        <v>346</v>
      </c>
      <c r="S1" s="65" t="s">
        <v>379</v>
      </c>
      <c r="T1" s="65" t="s">
        <v>378</v>
      </c>
      <c r="U1" s="65" t="s">
        <v>377</v>
      </c>
      <c r="V1" s="60" t="s">
        <v>399</v>
      </c>
      <c r="W1" s="60" t="s">
        <v>400</v>
      </c>
      <c r="X1" s="121" t="s">
        <v>401</v>
      </c>
      <c r="Z1" t="s">
        <v>407</v>
      </c>
      <c r="AA1" s="649" t="s">
        <v>425</v>
      </c>
      <c r="AB1" s="66" t="s">
        <v>438</v>
      </c>
      <c r="AC1" s="66" t="s">
        <v>439</v>
      </c>
      <c r="AD1" s="55" t="s">
        <v>471</v>
      </c>
      <c r="AE1" s="246" t="s">
        <v>470</v>
      </c>
      <c r="AF1" s="357" t="s">
        <v>516</v>
      </c>
      <c r="AG1" s="650" t="s">
        <v>494</v>
      </c>
      <c r="AH1" s="651" t="s">
        <v>517</v>
      </c>
      <c r="AI1" s="652" t="s">
        <v>514</v>
      </c>
      <c r="AJ1" s="378" t="s">
        <v>515</v>
      </c>
      <c r="AK1" s="653" t="s">
        <v>541</v>
      </c>
      <c r="AL1" s="654" t="s">
        <v>540</v>
      </c>
      <c r="AM1" s="344" t="s">
        <v>544</v>
      </c>
      <c r="AN1" s="655" t="s">
        <v>547</v>
      </c>
      <c r="AO1" s="259" t="s">
        <v>548</v>
      </c>
      <c r="AP1" s="208" t="s">
        <v>554</v>
      </c>
      <c r="AQ1" s="402" t="s">
        <v>555</v>
      </c>
      <c r="AR1" s="402" t="s">
        <v>560</v>
      </c>
      <c r="AS1" s="263" t="s">
        <v>561</v>
      </c>
      <c r="AT1" s="427" t="s">
        <v>566</v>
      </c>
      <c r="AU1" s="427" t="s">
        <v>568</v>
      </c>
      <c r="AV1" s="427" t="s">
        <v>569</v>
      </c>
      <c r="AW1" s="428" t="s">
        <v>567</v>
      </c>
      <c r="AX1" s="656" t="s">
        <v>570</v>
      </c>
      <c r="AY1" s="427" t="s">
        <v>592</v>
      </c>
      <c r="AZ1" s="461" t="s">
        <v>600</v>
      </c>
      <c r="BA1" s="461" t="s">
        <v>601</v>
      </c>
      <c r="BB1" s="504" t="s">
        <v>610</v>
      </c>
      <c r="BC1" s="500" t="s">
        <v>606</v>
      </c>
      <c r="BD1" s="500" t="s">
        <v>607</v>
      </c>
      <c r="BE1" s="500" t="s">
        <v>609</v>
      </c>
      <c r="BF1" s="512" t="s">
        <v>611</v>
      </c>
      <c r="BG1" s="538" t="s">
        <v>613</v>
      </c>
      <c r="BH1" s="500" t="s">
        <v>619</v>
      </c>
      <c r="BI1" s="528" t="s">
        <v>647</v>
      </c>
      <c r="BJ1" s="570" t="s">
        <v>641</v>
      </c>
      <c r="BK1" s="606" t="s">
        <v>654</v>
      </c>
      <c r="BL1" s="657" t="s">
        <v>653</v>
      </c>
      <c r="BM1" s="658" t="s">
        <v>688</v>
      </c>
      <c r="BN1" s="659" t="s">
        <v>706</v>
      </c>
      <c r="BO1" s="660" t="s">
        <v>697</v>
      </c>
      <c r="BP1" s="660" t="s">
        <v>699</v>
      </c>
      <c r="BQ1" s="660" t="s">
        <v>698</v>
      </c>
      <c r="BR1" s="660" t="s">
        <v>712</v>
      </c>
      <c r="BS1" s="660" t="s">
        <v>723</v>
      </c>
      <c r="BT1" s="724" t="s">
        <v>728</v>
      </c>
      <c r="BU1" s="856" t="s">
        <v>732</v>
      </c>
      <c r="BV1" s="857" t="s">
        <v>767</v>
      </c>
    </row>
    <row r="2" spans="1:74" x14ac:dyDescent="0.25">
      <c r="A2" s="54" t="s">
        <v>8</v>
      </c>
      <c r="B2" s="446" t="s">
        <v>175</v>
      </c>
      <c r="C2" s="55">
        <v>0</v>
      </c>
      <c r="D2" s="55">
        <v>0</v>
      </c>
      <c r="E2" s="55">
        <v>0</v>
      </c>
      <c r="F2" s="56"/>
      <c r="G2" s="56"/>
      <c r="H2" s="56"/>
      <c r="I2" s="56">
        <f>H2/11+H2</f>
        <v>0</v>
      </c>
      <c r="J2" s="55"/>
      <c r="K2" s="55"/>
      <c r="L2" s="55"/>
      <c r="M2" s="1">
        <f>IF(I2&lt;&gt;0,L2/I2*100,0)</f>
        <v>0</v>
      </c>
      <c r="O2" s="55"/>
      <c r="P2" s="55"/>
      <c r="Q2" s="55"/>
      <c r="R2" s="55"/>
      <c r="S2" s="55"/>
      <c r="T2" s="55"/>
      <c r="U2" s="55"/>
      <c r="V2" s="55">
        <f>U2</f>
        <v>0</v>
      </c>
      <c r="W2" s="55">
        <f>V2</f>
        <v>0</v>
      </c>
      <c r="X2" s="122"/>
      <c r="Z2" s="140" t="e">
        <f>W2/T2</f>
        <v>#DIV/0!</v>
      </c>
      <c r="AA2" s="54"/>
      <c r="AB2" s="55"/>
      <c r="AC2" s="55"/>
      <c r="AD2" s="55"/>
      <c r="AE2" s="122"/>
      <c r="AF2" s="55"/>
      <c r="AG2" s="55"/>
      <c r="AH2" s="217">
        <f t="shared" ref="AH2:AH70" si="0">AG2/10*12</f>
        <v>0</v>
      </c>
      <c r="AI2" s="261"/>
      <c r="AK2" s="55">
        <f>AJ2+AI2</f>
        <v>0</v>
      </c>
      <c r="AM2" s="55"/>
      <c r="AN2" s="54"/>
      <c r="AO2" s="259"/>
      <c r="AS2" s="259"/>
      <c r="AT2" s="65"/>
      <c r="AX2" s="222"/>
      <c r="AY2" s="69">
        <f>AX2</f>
        <v>0</v>
      </c>
      <c r="AZ2" s="65"/>
      <c r="BA2" s="65"/>
      <c r="BB2" s="501"/>
      <c r="BE2" s="501"/>
      <c r="BF2" s="221"/>
      <c r="BG2" s="358"/>
      <c r="BH2" s="54"/>
      <c r="BI2" s="54"/>
      <c r="BJ2" s="65"/>
      <c r="BK2" s="65"/>
      <c r="BL2" s="69">
        <f>BK2/10*12</f>
        <v>0</v>
      </c>
      <c r="BM2" s="69">
        <f>BL2/10*12</f>
        <v>0</v>
      </c>
      <c r="BN2" s="69"/>
      <c r="BO2" s="55"/>
      <c r="BP2" s="55"/>
      <c r="BQ2" s="54"/>
      <c r="BR2" s="54"/>
      <c r="BS2" s="54"/>
      <c r="BT2" s="259"/>
      <c r="BU2" s="353"/>
      <c r="BV2" s="727"/>
    </row>
    <row r="3" spans="1:74" x14ac:dyDescent="0.25">
      <c r="A3" s="54" t="s">
        <v>9</v>
      </c>
      <c r="B3" s="446" t="s">
        <v>176</v>
      </c>
      <c r="C3" s="55">
        <v>0</v>
      </c>
      <c r="D3" s="55">
        <v>0</v>
      </c>
      <c r="E3" s="55">
        <v>0</v>
      </c>
      <c r="F3" s="56"/>
      <c r="G3" s="56"/>
      <c r="H3" s="56"/>
      <c r="I3" s="56">
        <f t="shared" ref="I3:I77" si="1">H3/11+H3</f>
        <v>0</v>
      </c>
      <c r="J3" s="55"/>
      <c r="K3" s="55"/>
      <c r="L3" s="55"/>
      <c r="M3" s="1">
        <f t="shared" ref="M3:M77" si="2">IF(I3&lt;&gt;0,L3/I3*100,0)</f>
        <v>0</v>
      </c>
      <c r="O3" s="55"/>
      <c r="P3" s="55"/>
      <c r="Q3" s="55"/>
      <c r="R3" s="55"/>
      <c r="S3" s="55"/>
      <c r="T3" s="55"/>
      <c r="U3" s="55"/>
      <c r="V3" s="55">
        <f t="shared" ref="V3:W3" si="3">U3</f>
        <v>0</v>
      </c>
      <c r="W3" s="55">
        <f t="shared" si="3"/>
        <v>0</v>
      </c>
      <c r="X3" s="122"/>
      <c r="Z3" s="140" t="e">
        <f t="shared" ref="Z3:Z76" si="4">W3/T3</f>
        <v>#DIV/0!</v>
      </c>
      <c r="AA3" s="54"/>
      <c r="AB3" s="55"/>
      <c r="AC3" s="55"/>
      <c r="AD3" s="55"/>
      <c r="AE3" s="122"/>
      <c r="AF3" s="55"/>
      <c r="AG3" s="55"/>
      <c r="AH3" s="217">
        <f t="shared" si="0"/>
        <v>0</v>
      </c>
      <c r="AI3" s="261"/>
      <c r="AK3" s="55">
        <f t="shared" ref="AK3:AL71" si="5">AJ3+AI3</f>
        <v>0</v>
      </c>
      <c r="AM3" s="54"/>
      <c r="AN3" s="54"/>
      <c r="AO3" s="259"/>
      <c r="AS3" s="259"/>
      <c r="AT3" s="65"/>
      <c r="AX3" s="222"/>
      <c r="AY3" s="69">
        <f t="shared" ref="AY3:AY70" si="6">AX3</f>
        <v>0</v>
      </c>
      <c r="AZ3" s="65"/>
      <c r="BA3" s="65"/>
      <c r="BB3" s="501"/>
      <c r="BE3" s="501"/>
      <c r="BF3" s="221"/>
      <c r="BG3" s="358"/>
      <c r="BH3" s="54"/>
      <c r="BI3" s="54"/>
      <c r="BJ3" s="65"/>
      <c r="BK3" s="65"/>
      <c r="BL3" s="69">
        <f t="shared" ref="BL3:BM70" si="7">BK3/10*12</f>
        <v>0</v>
      </c>
      <c r="BM3" s="69">
        <f t="shared" si="7"/>
        <v>0</v>
      </c>
      <c r="BN3" s="69"/>
      <c r="BO3" s="55"/>
      <c r="BP3" s="55"/>
      <c r="BQ3" s="54"/>
      <c r="BR3" s="54"/>
      <c r="BS3" s="54"/>
      <c r="BT3" s="259"/>
      <c r="BU3" s="353"/>
      <c r="BV3" s="727"/>
    </row>
    <row r="4" spans="1:74" x14ac:dyDescent="0.25">
      <c r="A4" s="54" t="s">
        <v>584</v>
      </c>
      <c r="B4" s="446" t="s">
        <v>177</v>
      </c>
      <c r="C4" s="55">
        <v>0</v>
      </c>
      <c r="D4" s="55">
        <v>0</v>
      </c>
      <c r="E4" s="55">
        <v>0</v>
      </c>
      <c r="F4" s="56"/>
      <c r="G4" s="56"/>
      <c r="H4" s="56"/>
      <c r="I4" s="56">
        <f t="shared" si="1"/>
        <v>0</v>
      </c>
      <c r="J4" s="55"/>
      <c r="K4" s="55"/>
      <c r="L4" s="55"/>
      <c r="M4" s="1">
        <f t="shared" si="2"/>
        <v>0</v>
      </c>
      <c r="O4" s="55"/>
      <c r="P4" s="55"/>
      <c r="Q4" s="55"/>
      <c r="R4" s="55"/>
      <c r="S4" s="55"/>
      <c r="T4" s="55"/>
      <c r="U4" s="55"/>
      <c r="V4" s="55">
        <f t="shared" ref="V4:W4" si="8">U4</f>
        <v>0</v>
      </c>
      <c r="W4" s="55">
        <f t="shared" si="8"/>
        <v>0</v>
      </c>
      <c r="X4" s="122"/>
      <c r="Z4" s="140" t="e">
        <f t="shared" si="4"/>
        <v>#DIV/0!</v>
      </c>
      <c r="AA4" s="54"/>
      <c r="AB4" s="55"/>
      <c r="AC4" s="55"/>
      <c r="AD4" s="55"/>
      <c r="AE4" s="122"/>
      <c r="AF4" s="55"/>
      <c r="AG4" s="55"/>
      <c r="AH4" s="217">
        <f t="shared" si="0"/>
        <v>0</v>
      </c>
      <c r="AI4" s="261"/>
      <c r="AK4" s="55">
        <f t="shared" si="5"/>
        <v>0</v>
      </c>
      <c r="AM4" s="54"/>
      <c r="AN4" s="54"/>
      <c r="AO4" s="259"/>
      <c r="AS4" s="259"/>
      <c r="AT4" s="65"/>
      <c r="AX4" s="222"/>
      <c r="AY4" s="69">
        <f t="shared" si="6"/>
        <v>0</v>
      </c>
      <c r="AZ4" s="65"/>
      <c r="BA4" s="65"/>
      <c r="BB4" s="501"/>
      <c r="BE4" s="501"/>
      <c r="BF4" s="221"/>
      <c r="BG4" s="358"/>
      <c r="BH4" s="54"/>
      <c r="BI4" s="54"/>
      <c r="BJ4" s="65"/>
      <c r="BK4" s="65"/>
      <c r="BL4" s="69">
        <f t="shared" si="7"/>
        <v>0</v>
      </c>
      <c r="BM4" s="69">
        <f t="shared" si="7"/>
        <v>0</v>
      </c>
      <c r="BN4" s="69"/>
      <c r="BO4" s="55"/>
      <c r="BP4" s="55"/>
      <c r="BQ4" s="54"/>
      <c r="BR4" s="54"/>
      <c r="BS4" s="54"/>
      <c r="BT4" s="259"/>
      <c r="BU4" s="353"/>
      <c r="BV4" s="727"/>
    </row>
    <row r="5" spans="1:74" x14ac:dyDescent="0.25">
      <c r="A5" s="54" t="s">
        <v>585</v>
      </c>
      <c r="B5" s="446" t="s">
        <v>586</v>
      </c>
      <c r="C5" s="55"/>
      <c r="D5" s="55"/>
      <c r="E5" s="55"/>
      <c r="F5" s="56"/>
      <c r="G5" s="56"/>
      <c r="H5" s="56"/>
      <c r="I5" s="56"/>
      <c r="J5" s="55"/>
      <c r="K5" s="55"/>
      <c r="L5" s="55"/>
      <c r="O5" s="55"/>
      <c r="P5" s="55"/>
      <c r="Q5" s="55"/>
      <c r="R5" s="55"/>
      <c r="S5" s="55"/>
      <c r="T5" s="55"/>
      <c r="U5" s="55"/>
      <c r="V5" s="55"/>
      <c r="W5" s="55"/>
      <c r="X5" s="122"/>
      <c r="Z5" s="140"/>
      <c r="AA5" s="54"/>
      <c r="AB5" s="55"/>
      <c r="AC5" s="55"/>
      <c r="AD5" s="55"/>
      <c r="AE5" s="122"/>
      <c r="AF5" s="55"/>
      <c r="AG5" s="55"/>
      <c r="AH5" s="217"/>
      <c r="AI5" s="261"/>
      <c r="AM5" s="54"/>
      <c r="AN5" s="54"/>
      <c r="AO5" s="259"/>
      <c r="AS5" s="259"/>
      <c r="AT5" s="65"/>
      <c r="AX5" s="222"/>
      <c r="AY5" s="69">
        <f t="shared" si="6"/>
        <v>0</v>
      </c>
      <c r="AZ5" s="65"/>
      <c r="BA5" s="65"/>
      <c r="BB5" s="501"/>
      <c r="BE5" s="501"/>
      <c r="BF5" s="221"/>
      <c r="BG5" s="358"/>
      <c r="BH5" s="54"/>
      <c r="BI5" s="54"/>
      <c r="BJ5" s="65"/>
      <c r="BK5" s="65"/>
      <c r="BL5" s="69">
        <f t="shared" si="7"/>
        <v>0</v>
      </c>
      <c r="BM5" s="69">
        <f t="shared" si="7"/>
        <v>0</v>
      </c>
      <c r="BN5" s="69"/>
      <c r="BO5" s="55"/>
      <c r="BP5" s="55"/>
      <c r="BQ5" s="54"/>
      <c r="BR5" s="54"/>
      <c r="BS5" s="54"/>
      <c r="BT5" s="259"/>
      <c r="BU5" s="353"/>
      <c r="BV5" s="727"/>
    </row>
    <row r="6" spans="1:74" x14ac:dyDescent="0.25">
      <c r="A6" s="54" t="s">
        <v>10</v>
      </c>
      <c r="B6" s="446" t="s">
        <v>178</v>
      </c>
      <c r="C6" s="55">
        <v>0</v>
      </c>
      <c r="D6" s="55">
        <v>0</v>
      </c>
      <c r="E6" s="55">
        <v>0</v>
      </c>
      <c r="F6" s="56"/>
      <c r="G6" s="56"/>
      <c r="H6" s="56"/>
      <c r="I6" s="56">
        <f t="shared" si="1"/>
        <v>0</v>
      </c>
      <c r="J6" s="55"/>
      <c r="K6" s="55"/>
      <c r="L6" s="55"/>
      <c r="M6" s="1">
        <f t="shared" si="2"/>
        <v>0</v>
      </c>
      <c r="O6" s="55"/>
      <c r="P6" s="55"/>
      <c r="Q6" s="55"/>
      <c r="R6" s="55"/>
      <c r="S6" s="55"/>
      <c r="T6" s="55"/>
      <c r="U6" s="55"/>
      <c r="V6" s="55">
        <f t="shared" ref="V6:W6" si="9">U6</f>
        <v>0</v>
      </c>
      <c r="W6" s="55">
        <f t="shared" si="9"/>
        <v>0</v>
      </c>
      <c r="X6" s="122"/>
      <c r="Z6" s="140" t="e">
        <f t="shared" si="4"/>
        <v>#DIV/0!</v>
      </c>
      <c r="AA6" s="54"/>
      <c r="AB6" s="55"/>
      <c r="AC6" s="55"/>
      <c r="AD6" s="55"/>
      <c r="AE6" s="122"/>
      <c r="AF6" s="55"/>
      <c r="AG6" s="55"/>
      <c r="AH6" s="217">
        <f t="shared" si="0"/>
        <v>0</v>
      </c>
      <c r="AI6" s="261"/>
      <c r="AK6" s="55">
        <f t="shared" si="5"/>
        <v>0</v>
      </c>
      <c r="AM6" s="54"/>
      <c r="AN6" s="54"/>
      <c r="AO6" s="259"/>
      <c r="AS6" s="259"/>
      <c r="AT6" s="65"/>
      <c r="AX6" s="222"/>
      <c r="AY6" s="69">
        <f t="shared" si="6"/>
        <v>0</v>
      </c>
      <c r="AZ6" s="65"/>
      <c r="BA6" s="65"/>
      <c r="BB6" s="501"/>
      <c r="BE6" s="501"/>
      <c r="BF6" s="221"/>
      <c r="BG6" s="358"/>
      <c r="BH6" s="54"/>
      <c r="BI6" s="54"/>
      <c r="BJ6" s="65"/>
      <c r="BK6" s="65"/>
      <c r="BL6" s="69">
        <f t="shared" si="7"/>
        <v>0</v>
      </c>
      <c r="BM6" s="69">
        <f t="shared" si="7"/>
        <v>0</v>
      </c>
      <c r="BN6" s="69"/>
      <c r="BO6" s="55"/>
      <c r="BP6" s="55"/>
      <c r="BQ6" s="54"/>
      <c r="BR6" s="54"/>
      <c r="BS6" s="54"/>
      <c r="BT6" s="259"/>
      <c r="BU6" s="353"/>
      <c r="BV6" s="727"/>
    </row>
    <row r="7" spans="1:74" x14ac:dyDescent="0.25">
      <c r="A7" s="54" t="s">
        <v>11</v>
      </c>
      <c r="B7" s="446" t="s">
        <v>179</v>
      </c>
      <c r="C7" s="55">
        <v>0</v>
      </c>
      <c r="D7" s="55">
        <v>0</v>
      </c>
      <c r="E7" s="55">
        <v>0</v>
      </c>
      <c r="F7" s="56"/>
      <c r="G7" s="56"/>
      <c r="H7" s="56"/>
      <c r="I7" s="56">
        <f t="shared" si="1"/>
        <v>0</v>
      </c>
      <c r="J7" s="55"/>
      <c r="K7" s="55"/>
      <c r="L7" s="55"/>
      <c r="M7" s="1">
        <f t="shared" si="2"/>
        <v>0</v>
      </c>
      <c r="O7" s="55"/>
      <c r="P7" s="55"/>
      <c r="Q7" s="55"/>
      <c r="R7" s="55"/>
      <c r="S7" s="55"/>
      <c r="T7" s="55"/>
      <c r="U7" s="55"/>
      <c r="V7" s="55">
        <f t="shared" ref="V7:W7" si="10">U7</f>
        <v>0</v>
      </c>
      <c r="W7" s="55">
        <f t="shared" si="10"/>
        <v>0</v>
      </c>
      <c r="X7" s="122"/>
      <c r="Z7" s="140" t="e">
        <f t="shared" si="4"/>
        <v>#DIV/0!</v>
      </c>
      <c r="AA7" s="54"/>
      <c r="AB7" s="55"/>
      <c r="AC7" s="55"/>
      <c r="AD7" s="55"/>
      <c r="AE7" s="122"/>
      <c r="AF7" s="55"/>
      <c r="AG7" s="55"/>
      <c r="AH7" s="217">
        <f t="shared" si="0"/>
        <v>0</v>
      </c>
      <c r="AI7" s="261"/>
      <c r="AK7" s="55">
        <f t="shared" si="5"/>
        <v>0</v>
      </c>
      <c r="AM7" s="54"/>
      <c r="AN7" s="54"/>
      <c r="AO7" s="259"/>
      <c r="AS7" s="259"/>
      <c r="AT7" s="65"/>
      <c r="AX7" s="222"/>
      <c r="AY7" s="69">
        <f t="shared" si="6"/>
        <v>0</v>
      </c>
      <c r="AZ7" s="65"/>
      <c r="BA7" s="65"/>
      <c r="BB7" s="501"/>
      <c r="BE7" s="501"/>
      <c r="BF7" s="221"/>
      <c r="BG7" s="358"/>
      <c r="BH7" s="54"/>
      <c r="BI7" s="54"/>
      <c r="BJ7" s="65"/>
      <c r="BK7" s="65"/>
      <c r="BL7" s="69">
        <f t="shared" si="7"/>
        <v>0</v>
      </c>
      <c r="BM7" s="69">
        <f t="shared" si="7"/>
        <v>0</v>
      </c>
      <c r="BN7" s="69"/>
      <c r="BO7" s="55"/>
      <c r="BP7" s="55"/>
      <c r="BQ7" s="54"/>
      <c r="BR7" s="54"/>
      <c r="BS7" s="54"/>
      <c r="BT7" s="259"/>
      <c r="BU7" s="353"/>
      <c r="BV7" s="727"/>
    </row>
    <row r="8" spans="1:74" x14ac:dyDescent="0.25">
      <c r="A8" s="54" t="s">
        <v>443</v>
      </c>
      <c r="B8" s="446" t="s">
        <v>444</v>
      </c>
      <c r="C8" s="55"/>
      <c r="D8" s="55"/>
      <c r="E8" s="55"/>
      <c r="F8" s="56"/>
      <c r="G8" s="56"/>
      <c r="H8" s="56"/>
      <c r="I8" s="56"/>
      <c r="J8" s="55"/>
      <c r="K8" s="55"/>
      <c r="L8" s="55"/>
      <c r="O8" s="55"/>
      <c r="P8" s="55"/>
      <c r="Q8" s="55"/>
      <c r="R8" s="55"/>
      <c r="S8" s="55"/>
      <c r="T8" s="55"/>
      <c r="U8" s="55"/>
      <c r="V8" s="55"/>
      <c r="W8" s="55"/>
      <c r="X8" s="122"/>
      <c r="Z8" s="140"/>
      <c r="AA8" s="54"/>
      <c r="AB8" s="55"/>
      <c r="AC8" s="55"/>
      <c r="AD8" s="55"/>
      <c r="AE8" s="122"/>
      <c r="AF8" s="55"/>
      <c r="AG8" s="55"/>
      <c r="AH8" s="217">
        <f t="shared" si="0"/>
        <v>0</v>
      </c>
      <c r="AI8" s="261"/>
      <c r="AK8" s="55">
        <f t="shared" si="5"/>
        <v>0</v>
      </c>
      <c r="AM8" s="54"/>
      <c r="AN8" s="54"/>
      <c r="AO8" s="259"/>
      <c r="AS8" s="259"/>
      <c r="AT8" s="65"/>
      <c r="AX8" s="222"/>
      <c r="AY8" s="69">
        <f t="shared" si="6"/>
        <v>0</v>
      </c>
      <c r="AZ8" s="65"/>
      <c r="BA8" s="65"/>
      <c r="BB8" s="501"/>
      <c r="BE8" s="501"/>
      <c r="BF8" s="221"/>
      <c r="BG8" s="358"/>
      <c r="BH8" s="54"/>
      <c r="BI8" s="54"/>
      <c r="BJ8" s="65"/>
      <c r="BK8" s="65"/>
      <c r="BL8" s="69">
        <f t="shared" si="7"/>
        <v>0</v>
      </c>
      <c r="BM8" s="69">
        <f t="shared" si="7"/>
        <v>0</v>
      </c>
      <c r="BN8" s="69"/>
      <c r="BO8" s="55"/>
      <c r="BP8" s="55"/>
      <c r="BQ8" s="54"/>
      <c r="BR8" s="54"/>
      <c r="BS8" s="54"/>
      <c r="BT8" s="259"/>
      <c r="BU8" s="353"/>
      <c r="BV8" s="727"/>
    </row>
    <row r="9" spans="1:74" x14ac:dyDescent="0.25">
      <c r="A9" s="54" t="s">
        <v>12</v>
      </c>
      <c r="B9" s="446" t="s">
        <v>180</v>
      </c>
      <c r="C9" s="55">
        <v>0</v>
      </c>
      <c r="D9" s="55">
        <v>0</v>
      </c>
      <c r="E9" s="55">
        <v>0</v>
      </c>
      <c r="F9" s="56"/>
      <c r="G9" s="56"/>
      <c r="H9" s="56"/>
      <c r="I9" s="56">
        <f t="shared" si="1"/>
        <v>0</v>
      </c>
      <c r="J9" s="55"/>
      <c r="K9" s="55"/>
      <c r="L9" s="55"/>
      <c r="M9" s="1">
        <f t="shared" si="2"/>
        <v>0</v>
      </c>
      <c r="O9" s="55"/>
      <c r="P9" s="55"/>
      <c r="Q9" s="55"/>
      <c r="R9" s="55"/>
      <c r="S9" s="55"/>
      <c r="T9" s="55"/>
      <c r="U9" s="55"/>
      <c r="V9" s="55">
        <f t="shared" ref="V9:W9" si="11">U9</f>
        <v>0</v>
      </c>
      <c r="W9" s="55">
        <f t="shared" si="11"/>
        <v>0</v>
      </c>
      <c r="X9" s="122"/>
      <c r="Z9" s="140" t="e">
        <f t="shared" si="4"/>
        <v>#DIV/0!</v>
      </c>
      <c r="AA9" s="54"/>
      <c r="AB9" s="55"/>
      <c r="AC9" s="55"/>
      <c r="AD9" s="55"/>
      <c r="AE9" s="122"/>
      <c r="AF9" s="55"/>
      <c r="AG9" s="55"/>
      <c r="AH9" s="217">
        <f t="shared" si="0"/>
        <v>0</v>
      </c>
      <c r="AI9" s="261"/>
      <c r="AK9" s="55">
        <f t="shared" si="5"/>
        <v>0</v>
      </c>
      <c r="AM9" s="54"/>
      <c r="AN9" s="54"/>
      <c r="AO9" s="259"/>
      <c r="AS9" s="259"/>
      <c r="AT9" s="65"/>
      <c r="AX9" s="222"/>
      <c r="AY9" s="69">
        <f t="shared" si="6"/>
        <v>0</v>
      </c>
      <c r="AZ9" s="65"/>
      <c r="BA9" s="65"/>
      <c r="BB9" s="501"/>
      <c r="BE9" s="501"/>
      <c r="BF9" s="221"/>
      <c r="BG9" s="358"/>
      <c r="BH9" s="54"/>
      <c r="BI9" s="54"/>
      <c r="BJ9" s="65"/>
      <c r="BK9" s="65"/>
      <c r="BL9" s="69">
        <f t="shared" si="7"/>
        <v>0</v>
      </c>
      <c r="BM9" s="69">
        <f t="shared" si="7"/>
        <v>0</v>
      </c>
      <c r="BN9" s="69"/>
      <c r="BO9" s="55"/>
      <c r="BP9" s="55"/>
      <c r="BQ9" s="54"/>
      <c r="BR9" s="54"/>
      <c r="BS9" s="54"/>
      <c r="BT9" s="259"/>
      <c r="BU9" s="353"/>
      <c r="BV9" s="727"/>
    </row>
    <row r="10" spans="1:74" x14ac:dyDescent="0.25">
      <c r="A10" s="54" t="s">
        <v>13</v>
      </c>
      <c r="B10" s="446" t="s">
        <v>181</v>
      </c>
      <c r="C10" s="55">
        <v>0</v>
      </c>
      <c r="D10" s="55">
        <v>0</v>
      </c>
      <c r="E10" s="55">
        <v>0</v>
      </c>
      <c r="F10" s="56"/>
      <c r="G10" s="56"/>
      <c r="H10" s="56"/>
      <c r="I10" s="56">
        <f t="shared" si="1"/>
        <v>0</v>
      </c>
      <c r="J10" s="55"/>
      <c r="K10" s="55"/>
      <c r="L10" s="55"/>
      <c r="M10" s="1">
        <f t="shared" si="2"/>
        <v>0</v>
      </c>
      <c r="O10" s="55"/>
      <c r="P10" s="55"/>
      <c r="Q10" s="55"/>
      <c r="R10" s="55"/>
      <c r="S10" s="55"/>
      <c r="T10" s="55"/>
      <c r="U10" s="55"/>
      <c r="V10" s="55">
        <f t="shared" ref="V10:W10" si="12">U10</f>
        <v>0</v>
      </c>
      <c r="W10" s="55">
        <f t="shared" si="12"/>
        <v>0</v>
      </c>
      <c r="X10" s="122"/>
      <c r="Z10" s="140" t="e">
        <f t="shared" si="4"/>
        <v>#DIV/0!</v>
      </c>
      <c r="AA10" s="54"/>
      <c r="AB10" s="55"/>
      <c r="AC10" s="55"/>
      <c r="AD10" s="55"/>
      <c r="AE10" s="122"/>
      <c r="AF10" s="55"/>
      <c r="AG10" s="55"/>
      <c r="AH10" s="217">
        <f t="shared" si="0"/>
        <v>0</v>
      </c>
      <c r="AI10" s="261"/>
      <c r="AK10" s="55">
        <f t="shared" si="5"/>
        <v>0</v>
      </c>
      <c r="AM10" s="54"/>
      <c r="AN10" s="54"/>
      <c r="AO10" s="259"/>
      <c r="AS10" s="259"/>
      <c r="AT10" s="65"/>
      <c r="AX10" s="222"/>
      <c r="AY10" s="69">
        <f t="shared" si="6"/>
        <v>0</v>
      </c>
      <c r="AZ10" s="65"/>
      <c r="BA10" s="65"/>
      <c r="BB10" s="501"/>
      <c r="BE10" s="501"/>
      <c r="BF10" s="221"/>
      <c r="BG10" s="358"/>
      <c r="BH10" s="54"/>
      <c r="BI10" s="54"/>
      <c r="BJ10" s="65"/>
      <c r="BK10" s="65"/>
      <c r="BL10" s="69">
        <f t="shared" si="7"/>
        <v>0</v>
      </c>
      <c r="BM10" s="69">
        <f t="shared" si="7"/>
        <v>0</v>
      </c>
      <c r="BN10" s="69"/>
      <c r="BO10" s="55"/>
      <c r="BP10" s="55"/>
      <c r="BQ10" s="54"/>
      <c r="BR10" s="54"/>
      <c r="BS10" s="54"/>
      <c r="BT10" s="259"/>
      <c r="BU10" s="353"/>
      <c r="BV10" s="727"/>
    </row>
    <row r="11" spans="1:74" x14ac:dyDescent="0.25">
      <c r="A11" s="54" t="s">
        <v>440</v>
      </c>
      <c r="B11" s="446" t="s">
        <v>441</v>
      </c>
      <c r="C11" s="55"/>
      <c r="D11" s="55"/>
      <c r="E11" s="55"/>
      <c r="F11" s="56"/>
      <c r="G11" s="56"/>
      <c r="H11" s="56"/>
      <c r="I11" s="56"/>
      <c r="J11" s="55"/>
      <c r="K11" s="55"/>
      <c r="L11" s="55"/>
      <c r="O11" s="55"/>
      <c r="P11" s="55"/>
      <c r="Q11" s="55"/>
      <c r="R11" s="55"/>
      <c r="S11" s="55"/>
      <c r="T11" s="55"/>
      <c r="U11" s="55"/>
      <c r="V11" s="55"/>
      <c r="W11" s="55"/>
      <c r="X11" s="122"/>
      <c r="Z11" s="140"/>
      <c r="AA11" s="54"/>
      <c r="AB11" s="55"/>
      <c r="AC11" s="55"/>
      <c r="AD11" s="55"/>
      <c r="AE11" s="122"/>
      <c r="AF11" s="55"/>
      <c r="AG11" s="55"/>
      <c r="AH11" s="217">
        <f t="shared" si="0"/>
        <v>0</v>
      </c>
      <c r="AI11" s="261"/>
      <c r="AK11" s="55">
        <f t="shared" si="5"/>
        <v>0</v>
      </c>
      <c r="AM11" s="54"/>
      <c r="AN11" s="54"/>
      <c r="AO11" s="259"/>
      <c r="AS11" s="259"/>
      <c r="AT11" s="65"/>
      <c r="AX11" s="222"/>
      <c r="AY11" s="69">
        <f t="shared" si="6"/>
        <v>0</v>
      </c>
      <c r="AZ11" s="65">
        <f t="shared" ref="AZ11:AZ36" si="13">AY11</f>
        <v>0</v>
      </c>
      <c r="BA11" s="65">
        <f t="shared" ref="BA11:BA36" si="14">AZ11</f>
        <v>0</v>
      </c>
      <c r="BB11" s="501"/>
      <c r="BE11" s="501"/>
      <c r="BF11" s="221"/>
      <c r="BG11" s="358"/>
      <c r="BH11" s="54"/>
      <c r="BI11" s="54"/>
      <c r="BJ11" s="65"/>
      <c r="BK11" s="65"/>
      <c r="BL11" s="69">
        <f t="shared" si="7"/>
        <v>0</v>
      </c>
      <c r="BM11" s="69">
        <f t="shared" si="7"/>
        <v>0</v>
      </c>
      <c r="BN11" s="69"/>
      <c r="BO11" s="65"/>
      <c r="BP11" s="65"/>
      <c r="BQ11" s="54"/>
      <c r="BR11" s="54"/>
      <c r="BS11" s="54"/>
      <c r="BT11" s="259"/>
      <c r="BU11" s="353"/>
      <c r="BV11" s="727"/>
    </row>
    <row r="12" spans="1:74" x14ac:dyDescent="0.25">
      <c r="A12" s="54" t="s">
        <v>14</v>
      </c>
      <c r="B12" s="446" t="s">
        <v>182</v>
      </c>
      <c r="C12" s="55">
        <v>0</v>
      </c>
      <c r="D12" s="55">
        <v>0</v>
      </c>
      <c r="E12" s="55">
        <v>0</v>
      </c>
      <c r="F12" s="56"/>
      <c r="G12" s="56"/>
      <c r="H12" s="56"/>
      <c r="I12" s="56">
        <f t="shared" si="1"/>
        <v>0</v>
      </c>
      <c r="J12" s="55"/>
      <c r="K12" s="55"/>
      <c r="L12" s="55"/>
      <c r="M12" s="1">
        <f t="shared" si="2"/>
        <v>0</v>
      </c>
      <c r="O12" s="55"/>
      <c r="P12" s="55"/>
      <c r="Q12" s="55"/>
      <c r="R12" s="55"/>
      <c r="S12" s="55"/>
      <c r="T12" s="55"/>
      <c r="U12" s="55"/>
      <c r="V12" s="55">
        <f t="shared" ref="V12:W12" si="15">U12</f>
        <v>0</v>
      </c>
      <c r="W12" s="55">
        <f t="shared" si="15"/>
        <v>0</v>
      </c>
      <c r="X12" s="122"/>
      <c r="Z12" s="140" t="e">
        <f t="shared" si="4"/>
        <v>#DIV/0!</v>
      </c>
      <c r="AA12" s="54"/>
      <c r="AB12" s="55"/>
      <c r="AC12" s="55"/>
      <c r="AD12" s="55"/>
      <c r="AE12" s="122"/>
      <c r="AF12" s="55"/>
      <c r="AG12" s="55"/>
      <c r="AH12" s="217">
        <f t="shared" si="0"/>
        <v>0</v>
      </c>
      <c r="AI12" s="261"/>
      <c r="AK12" s="55">
        <f t="shared" si="5"/>
        <v>0</v>
      </c>
      <c r="AM12" s="54"/>
      <c r="AN12" s="54"/>
      <c r="AO12" s="259"/>
      <c r="AS12" s="259"/>
      <c r="AT12" s="65"/>
      <c r="AX12" s="222"/>
      <c r="AY12" s="69">
        <f t="shared" si="6"/>
        <v>0</v>
      </c>
      <c r="AZ12" s="65">
        <f t="shared" si="13"/>
        <v>0</v>
      </c>
      <c r="BA12" s="65">
        <f t="shared" si="14"/>
        <v>0</v>
      </c>
      <c r="BB12" s="501"/>
      <c r="BE12" s="501"/>
      <c r="BF12" s="221"/>
      <c r="BG12" s="358"/>
      <c r="BH12" s="54"/>
      <c r="BI12" s="54"/>
      <c r="BJ12" s="65"/>
      <c r="BK12" s="65"/>
      <c r="BL12" s="69">
        <f t="shared" si="7"/>
        <v>0</v>
      </c>
      <c r="BM12" s="69">
        <f t="shared" si="7"/>
        <v>0</v>
      </c>
      <c r="BN12" s="69"/>
      <c r="BO12" s="65"/>
      <c r="BP12" s="65"/>
      <c r="BQ12" s="210"/>
      <c r="BR12" s="210"/>
      <c r="BS12" s="210"/>
      <c r="BT12" s="728"/>
      <c r="BU12" s="353"/>
      <c r="BV12" s="727"/>
    </row>
    <row r="13" spans="1:74" x14ac:dyDescent="0.25">
      <c r="A13" s="54" t="s">
        <v>15</v>
      </c>
      <c r="B13" s="446" t="s">
        <v>183</v>
      </c>
      <c r="C13" s="55">
        <v>0</v>
      </c>
      <c r="D13" s="55">
        <v>0</v>
      </c>
      <c r="E13" s="55">
        <v>0</v>
      </c>
      <c r="F13" s="56"/>
      <c r="G13" s="56"/>
      <c r="H13" s="56"/>
      <c r="I13" s="56">
        <f t="shared" si="1"/>
        <v>0</v>
      </c>
      <c r="J13" s="55"/>
      <c r="K13" s="55"/>
      <c r="L13" s="55"/>
      <c r="M13" s="1">
        <f t="shared" si="2"/>
        <v>0</v>
      </c>
      <c r="O13" s="55"/>
      <c r="P13" s="55"/>
      <c r="Q13" s="55"/>
      <c r="R13" s="55"/>
      <c r="S13" s="55"/>
      <c r="T13" s="55"/>
      <c r="U13" s="55"/>
      <c r="V13" s="55">
        <f t="shared" ref="V13:W13" si="16">U13</f>
        <v>0</v>
      </c>
      <c r="W13" s="55">
        <f t="shared" si="16"/>
        <v>0</v>
      </c>
      <c r="X13" s="122"/>
      <c r="Z13" s="140" t="e">
        <f t="shared" si="4"/>
        <v>#DIV/0!</v>
      </c>
      <c r="AA13" s="54"/>
      <c r="AB13" s="55"/>
      <c r="AC13" s="55"/>
      <c r="AD13" s="55"/>
      <c r="AE13" s="122"/>
      <c r="AF13" s="55"/>
      <c r="AG13" s="55"/>
      <c r="AH13" s="217">
        <f t="shared" si="0"/>
        <v>0</v>
      </c>
      <c r="AI13" s="261"/>
      <c r="AK13" s="55">
        <f t="shared" si="5"/>
        <v>0</v>
      </c>
      <c r="AM13" s="54"/>
      <c r="AN13" s="54"/>
      <c r="AO13" s="259"/>
      <c r="AS13" s="259"/>
      <c r="AT13" s="65"/>
      <c r="AX13" s="222"/>
      <c r="AY13" s="69">
        <f t="shared" si="6"/>
        <v>0</v>
      </c>
      <c r="AZ13" s="65">
        <f t="shared" si="13"/>
        <v>0</v>
      </c>
      <c r="BA13" s="65">
        <f t="shared" si="14"/>
        <v>0</v>
      </c>
      <c r="BB13" s="501"/>
      <c r="BE13" s="501"/>
      <c r="BF13" s="221"/>
      <c r="BG13" s="358"/>
      <c r="BH13" s="54"/>
      <c r="BI13" s="54"/>
      <c r="BJ13" s="65"/>
      <c r="BK13" s="65"/>
      <c r="BL13" s="69">
        <f t="shared" si="7"/>
        <v>0</v>
      </c>
      <c r="BM13" s="69">
        <f t="shared" si="7"/>
        <v>0</v>
      </c>
      <c r="BN13" s="69"/>
      <c r="BO13" s="65"/>
      <c r="BP13" s="65"/>
      <c r="BQ13" s="210"/>
      <c r="BR13" s="210"/>
      <c r="BS13" s="210"/>
      <c r="BT13" s="728"/>
      <c r="BU13" s="353"/>
      <c r="BV13" s="727"/>
    </row>
    <row r="14" spans="1:74" x14ac:dyDescent="0.25">
      <c r="A14" s="54" t="s">
        <v>16</v>
      </c>
      <c r="B14" s="446" t="s">
        <v>184</v>
      </c>
      <c r="C14" s="55">
        <v>0</v>
      </c>
      <c r="D14" s="55">
        <v>0</v>
      </c>
      <c r="E14" s="55">
        <v>0</v>
      </c>
      <c r="F14" s="56"/>
      <c r="G14" s="56"/>
      <c r="H14" s="56"/>
      <c r="I14" s="56">
        <f t="shared" si="1"/>
        <v>0</v>
      </c>
      <c r="J14" s="55"/>
      <c r="K14" s="55"/>
      <c r="L14" s="55"/>
      <c r="M14" s="1">
        <f t="shared" si="2"/>
        <v>0</v>
      </c>
      <c r="O14" s="55"/>
      <c r="P14" s="55"/>
      <c r="Q14" s="55"/>
      <c r="R14" s="55"/>
      <c r="S14" s="55"/>
      <c r="T14" s="55"/>
      <c r="U14" s="55"/>
      <c r="V14" s="55">
        <f t="shared" ref="V14:W14" si="17">U14</f>
        <v>0</v>
      </c>
      <c r="W14" s="55">
        <f t="shared" si="17"/>
        <v>0</v>
      </c>
      <c r="X14" s="122"/>
      <c r="Z14" s="140" t="e">
        <f t="shared" si="4"/>
        <v>#DIV/0!</v>
      </c>
      <c r="AA14" s="54"/>
      <c r="AB14" s="55"/>
      <c r="AC14" s="55"/>
      <c r="AD14" s="55"/>
      <c r="AE14" s="122"/>
      <c r="AF14" s="55"/>
      <c r="AG14" s="55"/>
      <c r="AH14" s="217">
        <f t="shared" si="0"/>
        <v>0</v>
      </c>
      <c r="AI14" s="261"/>
      <c r="AK14" s="55">
        <f t="shared" si="5"/>
        <v>0</v>
      </c>
      <c r="AM14" s="54"/>
      <c r="AN14" s="54"/>
      <c r="AO14" s="259"/>
      <c r="AS14" s="259"/>
      <c r="AT14" s="65"/>
      <c r="AX14" s="222"/>
      <c r="AY14" s="69">
        <f t="shared" si="6"/>
        <v>0</v>
      </c>
      <c r="AZ14" s="65">
        <f t="shared" si="13"/>
        <v>0</v>
      </c>
      <c r="BA14" s="65">
        <f t="shared" si="14"/>
        <v>0</v>
      </c>
      <c r="BB14" s="501"/>
      <c r="BE14" s="501"/>
      <c r="BF14" s="221"/>
      <c r="BG14" s="358"/>
      <c r="BH14" s="54"/>
      <c r="BI14" s="54"/>
      <c r="BJ14" s="65"/>
      <c r="BK14" s="65"/>
      <c r="BL14" s="69">
        <f t="shared" si="7"/>
        <v>0</v>
      </c>
      <c r="BM14" s="69">
        <f t="shared" si="7"/>
        <v>0</v>
      </c>
      <c r="BN14" s="69"/>
      <c r="BO14" s="65"/>
      <c r="BP14" s="65"/>
      <c r="BQ14" s="210"/>
      <c r="BR14" s="210"/>
      <c r="BS14" s="210"/>
      <c r="BT14" s="728"/>
      <c r="BU14" s="353"/>
      <c r="BV14" s="727"/>
    </row>
    <row r="15" spans="1:74" x14ac:dyDescent="0.25">
      <c r="A15" s="54" t="s">
        <v>17</v>
      </c>
      <c r="B15" s="446" t="s">
        <v>185</v>
      </c>
      <c r="C15" s="55">
        <v>0</v>
      </c>
      <c r="D15" s="55">
        <v>0</v>
      </c>
      <c r="E15" s="55">
        <v>0</v>
      </c>
      <c r="F15" s="56"/>
      <c r="G15" s="56"/>
      <c r="H15" s="56"/>
      <c r="I15" s="56">
        <f t="shared" si="1"/>
        <v>0</v>
      </c>
      <c r="J15" s="55"/>
      <c r="K15" s="55"/>
      <c r="L15" s="55"/>
      <c r="M15" s="1">
        <f t="shared" si="2"/>
        <v>0</v>
      </c>
      <c r="O15" s="55"/>
      <c r="P15" s="55"/>
      <c r="Q15" s="55"/>
      <c r="R15" s="55"/>
      <c r="S15" s="55"/>
      <c r="T15" s="55"/>
      <c r="U15" s="55"/>
      <c r="V15" s="55">
        <f t="shared" ref="V15:W15" si="18">U15</f>
        <v>0</v>
      </c>
      <c r="W15" s="55">
        <f t="shared" si="18"/>
        <v>0</v>
      </c>
      <c r="X15" s="122"/>
      <c r="Z15" s="140" t="e">
        <f t="shared" si="4"/>
        <v>#DIV/0!</v>
      </c>
      <c r="AA15" s="54"/>
      <c r="AB15" s="55"/>
      <c r="AC15" s="55"/>
      <c r="AD15" s="55"/>
      <c r="AE15" s="122"/>
      <c r="AF15" s="55"/>
      <c r="AG15" s="55"/>
      <c r="AH15" s="217">
        <f t="shared" si="0"/>
        <v>0</v>
      </c>
      <c r="AI15" s="261"/>
      <c r="AK15" s="55">
        <f t="shared" si="5"/>
        <v>0</v>
      </c>
      <c r="AM15" s="54"/>
      <c r="AN15" s="54"/>
      <c r="AO15" s="259"/>
      <c r="AS15" s="259"/>
      <c r="AT15" s="65"/>
      <c r="AX15" s="222"/>
      <c r="AY15" s="69">
        <f t="shared" si="6"/>
        <v>0</v>
      </c>
      <c r="AZ15" s="65">
        <f t="shared" si="13"/>
        <v>0</v>
      </c>
      <c r="BA15" s="65">
        <f t="shared" si="14"/>
        <v>0</v>
      </c>
      <c r="BB15" s="501"/>
      <c r="BE15" s="501"/>
      <c r="BF15" s="221"/>
      <c r="BG15" s="358"/>
      <c r="BH15" s="54"/>
      <c r="BI15" s="54"/>
      <c r="BJ15" s="65"/>
      <c r="BK15" s="65"/>
      <c r="BL15" s="69">
        <f t="shared" si="7"/>
        <v>0</v>
      </c>
      <c r="BM15" s="69">
        <f t="shared" si="7"/>
        <v>0</v>
      </c>
      <c r="BN15" s="69"/>
      <c r="BO15" s="65"/>
      <c r="BP15" s="65"/>
      <c r="BQ15" s="210"/>
      <c r="BR15" s="210"/>
      <c r="BS15" s="210"/>
      <c r="BT15" s="728"/>
      <c r="BU15" s="353"/>
      <c r="BV15" s="727"/>
    </row>
    <row r="16" spans="1:74" x14ac:dyDescent="0.25">
      <c r="A16" s="54" t="s">
        <v>18</v>
      </c>
      <c r="B16" s="446" t="s">
        <v>186</v>
      </c>
      <c r="C16" s="55">
        <v>0</v>
      </c>
      <c r="D16" s="55">
        <v>0</v>
      </c>
      <c r="E16" s="55">
        <v>0</v>
      </c>
      <c r="F16" s="56"/>
      <c r="G16" s="56"/>
      <c r="H16" s="56"/>
      <c r="I16" s="56">
        <f t="shared" si="1"/>
        <v>0</v>
      </c>
      <c r="J16" s="55"/>
      <c r="K16" s="55"/>
      <c r="L16" s="55"/>
      <c r="M16" s="1">
        <f t="shared" si="2"/>
        <v>0</v>
      </c>
      <c r="O16" s="55"/>
      <c r="P16" s="55"/>
      <c r="Q16" s="55"/>
      <c r="R16" s="55"/>
      <c r="S16" s="55"/>
      <c r="T16" s="55"/>
      <c r="U16" s="55"/>
      <c r="V16" s="55">
        <f t="shared" ref="V16:W16" si="19">U16</f>
        <v>0</v>
      </c>
      <c r="W16" s="55">
        <f t="shared" si="19"/>
        <v>0</v>
      </c>
      <c r="X16" s="122"/>
      <c r="Z16" s="140" t="e">
        <f t="shared" si="4"/>
        <v>#DIV/0!</v>
      </c>
      <c r="AA16" s="54"/>
      <c r="AB16" s="55"/>
      <c r="AC16" s="55"/>
      <c r="AD16" s="55"/>
      <c r="AE16" s="122"/>
      <c r="AF16" s="55"/>
      <c r="AG16" s="55"/>
      <c r="AH16" s="217">
        <f t="shared" si="0"/>
        <v>0</v>
      </c>
      <c r="AI16" s="261"/>
      <c r="AK16" s="55">
        <f t="shared" si="5"/>
        <v>0</v>
      </c>
      <c r="AM16" s="54"/>
      <c r="AN16" s="54"/>
      <c r="AO16" s="259"/>
      <c r="AS16" s="259"/>
      <c r="AT16" s="65"/>
      <c r="AX16" s="222"/>
      <c r="AY16" s="69">
        <f t="shared" si="6"/>
        <v>0</v>
      </c>
      <c r="AZ16" s="65">
        <f t="shared" si="13"/>
        <v>0</v>
      </c>
      <c r="BA16" s="65">
        <f t="shared" si="14"/>
        <v>0</v>
      </c>
      <c r="BB16" s="501"/>
      <c r="BE16" s="501"/>
      <c r="BF16" s="221"/>
      <c r="BG16" s="358"/>
      <c r="BH16" s="54"/>
      <c r="BI16" s="54"/>
      <c r="BJ16" s="65"/>
      <c r="BK16" s="65"/>
      <c r="BL16" s="69">
        <f t="shared" si="7"/>
        <v>0</v>
      </c>
      <c r="BM16" s="69">
        <f t="shared" si="7"/>
        <v>0</v>
      </c>
      <c r="BN16" s="69"/>
      <c r="BO16" s="65"/>
      <c r="BP16" s="65"/>
      <c r="BQ16" s="210"/>
      <c r="BR16" s="210"/>
      <c r="BS16" s="210"/>
      <c r="BT16" s="728"/>
      <c r="BU16" s="353"/>
      <c r="BV16" s="727"/>
    </row>
    <row r="17" spans="1:74" x14ac:dyDescent="0.25">
      <c r="A17" s="54" t="s">
        <v>19</v>
      </c>
      <c r="B17" s="446" t="s">
        <v>187</v>
      </c>
      <c r="C17" s="55">
        <v>0</v>
      </c>
      <c r="D17" s="55">
        <v>0</v>
      </c>
      <c r="E17" s="55">
        <v>0</v>
      </c>
      <c r="F17" s="56"/>
      <c r="G17" s="56"/>
      <c r="H17" s="56"/>
      <c r="I17" s="56">
        <f t="shared" si="1"/>
        <v>0</v>
      </c>
      <c r="J17" s="55"/>
      <c r="K17" s="55"/>
      <c r="L17" s="55"/>
      <c r="M17" s="1">
        <f t="shared" si="2"/>
        <v>0</v>
      </c>
      <c r="O17" s="55"/>
      <c r="P17" s="55"/>
      <c r="Q17" s="55"/>
      <c r="R17" s="55"/>
      <c r="S17" s="55"/>
      <c r="T17" s="55"/>
      <c r="U17" s="55"/>
      <c r="V17" s="55">
        <f t="shared" ref="V17:W17" si="20">U17</f>
        <v>0</v>
      </c>
      <c r="W17" s="55">
        <f t="shared" si="20"/>
        <v>0</v>
      </c>
      <c r="X17" s="122"/>
      <c r="Z17" s="140" t="e">
        <f t="shared" si="4"/>
        <v>#DIV/0!</v>
      </c>
      <c r="AA17" s="54"/>
      <c r="AB17" s="55"/>
      <c r="AC17" s="55"/>
      <c r="AD17" s="55"/>
      <c r="AE17" s="122"/>
      <c r="AF17" s="55"/>
      <c r="AG17" s="55"/>
      <c r="AH17" s="217">
        <f t="shared" si="0"/>
        <v>0</v>
      </c>
      <c r="AI17" s="261"/>
      <c r="AK17" s="55">
        <f t="shared" si="5"/>
        <v>0</v>
      </c>
      <c r="AM17" s="54"/>
      <c r="AN17" s="54"/>
      <c r="AO17" s="259"/>
      <c r="AS17" s="259"/>
      <c r="AT17" s="65"/>
      <c r="AX17" s="222"/>
      <c r="AY17" s="69">
        <f t="shared" si="6"/>
        <v>0</v>
      </c>
      <c r="AZ17" s="65">
        <f t="shared" si="13"/>
        <v>0</v>
      </c>
      <c r="BA17" s="65">
        <f t="shared" si="14"/>
        <v>0</v>
      </c>
      <c r="BB17" s="501"/>
      <c r="BE17" s="501"/>
      <c r="BF17" s="221"/>
      <c r="BG17" s="358"/>
      <c r="BH17" s="54"/>
      <c r="BI17" s="54"/>
      <c r="BJ17" s="65"/>
      <c r="BK17" s="65"/>
      <c r="BL17" s="69">
        <f t="shared" si="7"/>
        <v>0</v>
      </c>
      <c r="BM17" s="69">
        <f t="shared" si="7"/>
        <v>0</v>
      </c>
      <c r="BN17" s="69"/>
      <c r="BO17" s="65"/>
      <c r="BP17" s="65"/>
      <c r="BQ17" s="54"/>
      <c r="BR17" s="54"/>
      <c r="BS17" s="54"/>
      <c r="BT17" s="259"/>
      <c r="BU17" s="353"/>
      <c r="BV17" s="727"/>
    </row>
    <row r="18" spans="1:74" x14ac:dyDescent="0.25">
      <c r="A18" s="54" t="s">
        <v>20</v>
      </c>
      <c r="B18" s="446" t="s">
        <v>188</v>
      </c>
      <c r="C18" s="55">
        <v>4509300</v>
      </c>
      <c r="D18" s="55">
        <v>3825222</v>
      </c>
      <c r="E18" s="55">
        <v>3030000</v>
      </c>
      <c r="F18" s="56">
        <v>613349</v>
      </c>
      <c r="G18" s="56">
        <v>3030000</v>
      </c>
      <c r="H18" s="56">
        <f>647562+1843919</f>
        <v>2491481</v>
      </c>
      <c r="I18" s="56">
        <f t="shared" si="1"/>
        <v>2717979.2727272729</v>
      </c>
      <c r="J18" s="55">
        <v>3030000</v>
      </c>
      <c r="K18" s="55">
        <v>3030000</v>
      </c>
      <c r="L18" s="55">
        <v>3030000</v>
      </c>
      <c r="M18" s="1">
        <f t="shared" si="2"/>
        <v>111.47987883511854</v>
      </c>
      <c r="O18" s="55">
        <v>3030000</v>
      </c>
      <c r="P18" s="55">
        <v>729727</v>
      </c>
      <c r="Q18" s="55">
        <v>738388</v>
      </c>
      <c r="R18" s="55">
        <v>3030000</v>
      </c>
      <c r="S18" s="55">
        <v>3030000</v>
      </c>
      <c r="T18" s="55">
        <v>979214</v>
      </c>
      <c r="U18" s="55">
        <v>3030000</v>
      </c>
      <c r="V18" s="55">
        <f t="shared" ref="V18" si="21">U18</f>
        <v>3030000</v>
      </c>
      <c r="W18" s="66">
        <v>2700000</v>
      </c>
      <c r="X18" s="122">
        <f t="shared" ref="X18:X76" si="22">T18/V18*100</f>
        <v>32.317293729372935</v>
      </c>
      <c r="Z18" s="140">
        <f t="shared" si="4"/>
        <v>2.7573135188018143</v>
      </c>
      <c r="AA18" s="69">
        <f>W18</f>
        <v>2700000</v>
      </c>
      <c r="AB18" s="55">
        <v>472756</v>
      </c>
      <c r="AC18" s="55">
        <v>506221</v>
      </c>
      <c r="AD18" s="55">
        <v>682422</v>
      </c>
      <c r="AE18" s="122">
        <f>(AD18+AD21+AD22)/AA18*100</f>
        <v>72.163185185185185</v>
      </c>
      <c r="AF18" s="55">
        <v>2700000</v>
      </c>
      <c r="AG18" s="55">
        <v>781044</v>
      </c>
      <c r="AH18" s="217">
        <f t="shared" si="0"/>
        <v>937252.79999999993</v>
      </c>
      <c r="AI18" s="261">
        <v>2700000</v>
      </c>
      <c r="AK18" s="55">
        <f t="shared" si="5"/>
        <v>2700000</v>
      </c>
      <c r="AL18" s="55">
        <f t="shared" si="5"/>
        <v>2700000</v>
      </c>
      <c r="AM18" s="347">
        <v>965087</v>
      </c>
      <c r="AN18" s="347"/>
      <c r="AO18" s="353"/>
      <c r="AP18" s="65">
        <v>2700000</v>
      </c>
      <c r="AQ18" s="65">
        <v>344659</v>
      </c>
      <c r="AR18" s="65">
        <f t="shared" ref="AR18:AR36" si="23">AP18-AQ18</f>
        <v>2355341</v>
      </c>
      <c r="AS18" s="259">
        <f>AQ18/AP18*100</f>
        <v>12.765148148148148</v>
      </c>
      <c r="AT18" s="65">
        <v>363163</v>
      </c>
      <c r="AU18" s="69">
        <f>AP18-AT18</f>
        <v>2336837</v>
      </c>
      <c r="AV18" s="54">
        <f>(AU18/AP18)*100</f>
        <v>86.549518518518525</v>
      </c>
      <c r="AW18" s="55">
        <v>2700000</v>
      </c>
      <c r="AX18" s="223">
        <v>2700000</v>
      </c>
      <c r="AY18" s="69">
        <f t="shared" si="6"/>
        <v>2700000</v>
      </c>
      <c r="AZ18" s="65">
        <f t="shared" si="13"/>
        <v>2700000</v>
      </c>
      <c r="BA18" s="65">
        <f t="shared" si="14"/>
        <v>2700000</v>
      </c>
      <c r="BB18" s="501">
        <v>2700000</v>
      </c>
      <c r="BC18" s="501">
        <v>2700000</v>
      </c>
      <c r="BD18" s="501">
        <v>673588</v>
      </c>
      <c r="BE18" s="501">
        <v>855159</v>
      </c>
      <c r="BF18" s="221">
        <v>880356</v>
      </c>
      <c r="BG18" s="540">
        <f>BF18/10*12</f>
        <v>1056427.2000000002</v>
      </c>
      <c r="BH18" s="69">
        <v>2000000</v>
      </c>
      <c r="BI18" s="69">
        <v>2000000</v>
      </c>
      <c r="BJ18" s="65">
        <v>62362</v>
      </c>
      <c r="BK18" s="65">
        <v>301974</v>
      </c>
      <c r="BL18" s="69">
        <f t="shared" si="7"/>
        <v>362368.80000000005</v>
      </c>
      <c r="BM18" s="54">
        <v>0</v>
      </c>
      <c r="BN18" s="54"/>
      <c r="BO18" s="55"/>
      <c r="BP18" s="55"/>
      <c r="BQ18" s="54"/>
      <c r="BR18" s="54"/>
      <c r="BS18" s="54"/>
      <c r="BT18" s="259"/>
      <c r="BU18" s="353"/>
      <c r="BV18" s="727"/>
    </row>
    <row r="19" spans="1:74" x14ac:dyDescent="0.25">
      <c r="A19" s="54" t="s">
        <v>21</v>
      </c>
      <c r="B19" s="446" t="s">
        <v>189</v>
      </c>
      <c r="C19" s="55">
        <v>0</v>
      </c>
      <c r="D19" s="55">
        <v>0</v>
      </c>
      <c r="E19" s="55">
        <v>0</v>
      </c>
      <c r="F19" s="56">
        <v>1723644</v>
      </c>
      <c r="G19" s="56"/>
      <c r="H19" s="56"/>
      <c r="I19" s="56">
        <f t="shared" si="1"/>
        <v>0</v>
      </c>
      <c r="J19" s="55"/>
      <c r="K19" s="55"/>
      <c r="L19" s="55"/>
      <c r="M19" s="1">
        <f t="shared" si="2"/>
        <v>0</v>
      </c>
      <c r="O19" s="55"/>
      <c r="P19" s="55"/>
      <c r="Q19" s="55"/>
      <c r="R19" s="55"/>
      <c r="S19" s="55"/>
      <c r="T19" s="55"/>
      <c r="U19" s="55"/>
      <c r="V19" s="55">
        <f t="shared" ref="V19:W19" si="24">U19</f>
        <v>0</v>
      </c>
      <c r="W19" s="55">
        <f t="shared" si="24"/>
        <v>0</v>
      </c>
      <c r="X19" s="122"/>
      <c r="Z19" s="140" t="e">
        <f t="shared" si="4"/>
        <v>#DIV/0!</v>
      </c>
      <c r="AA19" s="69">
        <f t="shared" ref="AA19:AA89" si="25">W19</f>
        <v>0</v>
      </c>
      <c r="AB19" s="55"/>
      <c r="AC19" s="55"/>
      <c r="AD19" s="55"/>
      <c r="AE19" s="122"/>
      <c r="AF19" s="55"/>
      <c r="AG19" s="55"/>
      <c r="AH19" s="217">
        <f t="shared" si="0"/>
        <v>0</v>
      </c>
      <c r="AI19" s="261"/>
      <c r="AK19" s="55">
        <f t="shared" si="5"/>
        <v>0</v>
      </c>
      <c r="AM19" s="347"/>
      <c r="AN19" s="347"/>
      <c r="AO19" s="353"/>
      <c r="AR19" s="65">
        <f t="shared" si="23"/>
        <v>0</v>
      </c>
      <c r="AS19" s="259"/>
      <c r="AT19" s="65"/>
      <c r="AU19" s="69"/>
      <c r="AX19" s="223"/>
      <c r="AY19" s="69">
        <f t="shared" si="6"/>
        <v>0</v>
      </c>
      <c r="AZ19" s="65">
        <f t="shared" si="13"/>
        <v>0</v>
      </c>
      <c r="BA19" s="65">
        <f t="shared" si="14"/>
        <v>0</v>
      </c>
      <c r="BB19" s="501"/>
      <c r="BE19" s="501"/>
      <c r="BF19" s="221"/>
      <c r="BG19" s="540">
        <f t="shared" ref="BG19:BG37" si="26">BF19/10*12</f>
        <v>0</v>
      </c>
      <c r="BH19" s="69"/>
      <c r="BI19" s="69"/>
      <c r="BJ19" s="65"/>
      <c r="BK19" s="65"/>
      <c r="BL19" s="69">
        <f t="shared" si="7"/>
        <v>0</v>
      </c>
      <c r="BM19" s="54">
        <v>0</v>
      </c>
      <c r="BN19" s="54"/>
      <c r="BO19" s="55"/>
      <c r="BP19" s="55"/>
      <c r="BQ19" s="54"/>
      <c r="BR19" s="54"/>
      <c r="BS19" s="54"/>
      <c r="BT19" s="259"/>
      <c r="BU19" s="353"/>
      <c r="BV19" s="727"/>
    </row>
    <row r="20" spans="1:74" x14ac:dyDescent="0.25">
      <c r="A20" s="54" t="s">
        <v>22</v>
      </c>
      <c r="B20" s="58" t="s">
        <v>194</v>
      </c>
      <c r="C20" s="55">
        <v>0</v>
      </c>
      <c r="D20" s="55">
        <v>0</v>
      </c>
      <c r="E20" s="55">
        <v>0</v>
      </c>
      <c r="F20" s="56"/>
      <c r="G20" s="56"/>
      <c r="H20" s="56"/>
      <c r="I20" s="56">
        <f t="shared" si="1"/>
        <v>0</v>
      </c>
      <c r="J20" s="55"/>
      <c r="K20" s="55"/>
      <c r="L20" s="55"/>
      <c r="M20" s="1">
        <f t="shared" si="2"/>
        <v>0</v>
      </c>
      <c r="O20" s="55"/>
      <c r="P20" s="55"/>
      <c r="Q20" s="55"/>
      <c r="R20" s="55"/>
      <c r="S20" s="55"/>
      <c r="T20" s="55"/>
      <c r="U20" s="55"/>
      <c r="V20" s="55">
        <f t="shared" ref="V20:W20" si="27">U20</f>
        <v>0</v>
      </c>
      <c r="W20" s="55">
        <f t="shared" si="27"/>
        <v>0</v>
      </c>
      <c r="X20" s="122"/>
      <c r="Z20" s="140" t="e">
        <f t="shared" si="4"/>
        <v>#DIV/0!</v>
      </c>
      <c r="AA20" s="69">
        <f t="shared" si="25"/>
        <v>0</v>
      </c>
      <c r="AB20" s="55"/>
      <c r="AC20" s="55"/>
      <c r="AD20" s="55"/>
      <c r="AE20" s="122"/>
      <c r="AF20" s="55"/>
      <c r="AG20" s="55"/>
      <c r="AH20" s="217">
        <f t="shared" si="0"/>
        <v>0</v>
      </c>
      <c r="AI20" s="261"/>
      <c r="AK20" s="55">
        <f t="shared" si="5"/>
        <v>0</v>
      </c>
      <c r="AM20" s="347"/>
      <c r="AN20" s="347"/>
      <c r="AO20" s="353"/>
      <c r="AR20" s="65">
        <f t="shared" si="23"/>
        <v>0</v>
      </c>
      <c r="AS20" s="259"/>
      <c r="AT20" s="65"/>
      <c r="AU20" s="69"/>
      <c r="AX20" s="223"/>
      <c r="AY20" s="69">
        <f t="shared" si="6"/>
        <v>0</v>
      </c>
      <c r="AZ20" s="65">
        <f t="shared" si="13"/>
        <v>0</v>
      </c>
      <c r="BA20" s="65">
        <f t="shared" si="14"/>
        <v>0</v>
      </c>
      <c r="BB20" s="501"/>
      <c r="BE20" s="501"/>
      <c r="BF20" s="221"/>
      <c r="BG20" s="540">
        <f t="shared" si="26"/>
        <v>0</v>
      </c>
      <c r="BH20" s="69"/>
      <c r="BI20" s="69"/>
      <c r="BJ20" s="65"/>
      <c r="BK20" s="65"/>
      <c r="BL20" s="69">
        <f t="shared" si="7"/>
        <v>0</v>
      </c>
      <c r="BM20" s="54">
        <v>0</v>
      </c>
      <c r="BN20" s="54"/>
      <c r="BO20" s="55"/>
      <c r="BP20" s="55"/>
      <c r="BQ20" s="54"/>
      <c r="BR20" s="54"/>
      <c r="BS20" s="54"/>
      <c r="BT20" s="259"/>
      <c r="BU20" s="353"/>
      <c r="BV20" s="727"/>
    </row>
    <row r="21" spans="1:74" x14ac:dyDescent="0.25">
      <c r="A21" s="54" t="s">
        <v>245</v>
      </c>
      <c r="B21" s="58" t="s">
        <v>246</v>
      </c>
      <c r="C21" s="55"/>
      <c r="D21" s="55"/>
      <c r="E21" s="55"/>
      <c r="F21" s="56"/>
      <c r="G21" s="56"/>
      <c r="H21" s="56"/>
      <c r="I21" s="56">
        <f t="shared" si="1"/>
        <v>0</v>
      </c>
      <c r="J21" s="55"/>
      <c r="K21" s="55"/>
      <c r="L21" s="55"/>
      <c r="M21" s="1">
        <f t="shared" si="2"/>
        <v>0</v>
      </c>
      <c r="O21" s="55"/>
      <c r="P21" s="55">
        <v>981351</v>
      </c>
      <c r="Q21" s="55">
        <v>1021351</v>
      </c>
      <c r="R21" s="55"/>
      <c r="S21" s="55"/>
      <c r="T21" s="55">
        <v>1314241</v>
      </c>
      <c r="U21" s="55"/>
      <c r="V21" s="55">
        <f t="shared" ref="V21:W21" si="28">U21</f>
        <v>0</v>
      </c>
      <c r="W21" s="55">
        <f t="shared" si="28"/>
        <v>0</v>
      </c>
      <c r="X21" s="122"/>
      <c r="Z21" s="140">
        <f t="shared" si="4"/>
        <v>0</v>
      </c>
      <c r="AA21" s="69">
        <f t="shared" si="25"/>
        <v>0</v>
      </c>
      <c r="AB21" s="55">
        <v>780750</v>
      </c>
      <c r="AC21" s="55">
        <v>954865</v>
      </c>
      <c r="AD21" s="55">
        <v>1081730</v>
      </c>
      <c r="AE21" s="122"/>
      <c r="AF21" s="55"/>
      <c r="AG21" s="55">
        <v>1324885</v>
      </c>
      <c r="AH21" s="217">
        <f t="shared" si="0"/>
        <v>1589862</v>
      </c>
      <c r="AI21" s="261">
        <v>1081730</v>
      </c>
      <c r="AJ21" s="65">
        <v>100000</v>
      </c>
      <c r="AK21" s="55">
        <f t="shared" si="5"/>
        <v>1181730</v>
      </c>
      <c r="AL21" s="55">
        <v>1181730</v>
      </c>
      <c r="AM21" s="347">
        <v>1816800</v>
      </c>
      <c r="AN21" s="347"/>
      <c r="AO21" s="353"/>
      <c r="AP21" s="65">
        <v>1181730</v>
      </c>
      <c r="AQ21" s="65">
        <v>1081652</v>
      </c>
      <c r="AR21" s="65">
        <f t="shared" si="23"/>
        <v>100078</v>
      </c>
      <c r="AS21" s="259">
        <f t="shared" ref="AS21:AS73" si="29">AQ21/AP21*100</f>
        <v>91.531229637903749</v>
      </c>
      <c r="AT21" s="65">
        <v>1235992</v>
      </c>
      <c r="AU21" s="69">
        <v>54262</v>
      </c>
      <c r="AV21" s="54">
        <f>(AU21/AP21)*100</f>
        <v>4.5917426146412463</v>
      </c>
      <c r="AW21" s="55">
        <v>1181730</v>
      </c>
      <c r="AX21" s="223">
        <v>1181730</v>
      </c>
      <c r="AY21" s="69">
        <f t="shared" si="6"/>
        <v>1181730</v>
      </c>
      <c r="AZ21" s="65">
        <f t="shared" si="13"/>
        <v>1181730</v>
      </c>
      <c r="BA21" s="65">
        <f t="shared" si="14"/>
        <v>1181730</v>
      </c>
      <c r="BB21" s="501">
        <v>1181730</v>
      </c>
      <c r="BC21" s="501">
        <v>1181730</v>
      </c>
      <c r="BD21" s="501">
        <v>1097270</v>
      </c>
      <c r="BE21" s="501">
        <v>1396695</v>
      </c>
      <c r="BF21" s="221">
        <v>1571625</v>
      </c>
      <c r="BG21" s="540">
        <f t="shared" si="26"/>
        <v>1885950</v>
      </c>
      <c r="BH21" s="69">
        <v>1800000</v>
      </c>
      <c r="BI21" s="69">
        <v>1800000</v>
      </c>
      <c r="BJ21" s="65">
        <v>2772447</v>
      </c>
      <c r="BK21" s="65">
        <v>4265202</v>
      </c>
      <c r="BL21" s="69">
        <f t="shared" si="7"/>
        <v>5118242.4000000004</v>
      </c>
      <c r="BM21" s="69">
        <v>6000000</v>
      </c>
      <c r="BN21" s="69">
        <v>6000000</v>
      </c>
      <c r="BO21" s="55">
        <v>6287696</v>
      </c>
      <c r="BP21" s="55">
        <f>BO21/10*12</f>
        <v>7545235.1999999993</v>
      </c>
      <c r="BQ21" s="55">
        <v>7545235</v>
      </c>
      <c r="BR21" s="55">
        <v>7600000</v>
      </c>
      <c r="BS21" s="55">
        <v>7600000</v>
      </c>
      <c r="BT21" s="223">
        <v>7600000</v>
      </c>
      <c r="BU21" s="353">
        <v>7600000</v>
      </c>
      <c r="BV21" s="876">
        <v>6500000</v>
      </c>
    </row>
    <row r="22" spans="1:74" x14ac:dyDescent="0.25">
      <c r="A22" s="54" t="s">
        <v>23</v>
      </c>
      <c r="B22" s="446" t="s">
        <v>190</v>
      </c>
      <c r="C22" s="55">
        <v>0</v>
      </c>
      <c r="D22" s="55">
        <v>186218</v>
      </c>
      <c r="E22" s="55">
        <v>0</v>
      </c>
      <c r="F22" s="56">
        <v>212707</v>
      </c>
      <c r="G22" s="56"/>
      <c r="H22" s="56">
        <v>238016</v>
      </c>
      <c r="I22" s="56">
        <f t="shared" si="1"/>
        <v>259653.81818181818</v>
      </c>
      <c r="J22" s="55"/>
      <c r="K22" s="55"/>
      <c r="L22" s="55"/>
      <c r="M22" s="1">
        <f t="shared" si="2"/>
        <v>0</v>
      </c>
      <c r="O22" s="55"/>
      <c r="P22" s="55">
        <v>186192</v>
      </c>
      <c r="Q22" s="55">
        <v>188531</v>
      </c>
      <c r="R22" s="55"/>
      <c r="S22" s="55"/>
      <c r="T22" s="55">
        <v>253555</v>
      </c>
      <c r="U22" s="55"/>
      <c r="V22" s="55">
        <f t="shared" ref="V22:W22" si="30">U22</f>
        <v>0</v>
      </c>
      <c r="W22" s="55">
        <f t="shared" si="30"/>
        <v>0</v>
      </c>
      <c r="X22" s="122"/>
      <c r="Z22" s="140">
        <f t="shared" si="4"/>
        <v>0</v>
      </c>
      <c r="AA22" s="69">
        <f t="shared" si="25"/>
        <v>0</v>
      </c>
      <c r="AB22" s="55">
        <v>127645</v>
      </c>
      <c r="AC22" s="55">
        <v>136680</v>
      </c>
      <c r="AD22" s="55">
        <v>184254</v>
      </c>
      <c r="AE22" s="122"/>
      <c r="AF22" s="55"/>
      <c r="AG22" s="55">
        <v>210882</v>
      </c>
      <c r="AH22" s="217">
        <f t="shared" si="0"/>
        <v>253058.40000000002</v>
      </c>
      <c r="AI22" s="261">
        <v>184254</v>
      </c>
      <c r="AK22" s="55">
        <f t="shared" si="5"/>
        <v>184254</v>
      </c>
      <c r="AL22" s="55">
        <f>AL18*0.27</f>
        <v>729000</v>
      </c>
      <c r="AM22" s="347">
        <v>260574</v>
      </c>
      <c r="AN22" s="347"/>
      <c r="AO22" s="353"/>
      <c r="AP22" s="65">
        <v>729000</v>
      </c>
      <c r="AQ22" s="65">
        <v>101750</v>
      </c>
      <c r="AR22" s="65">
        <f t="shared" si="23"/>
        <v>627250</v>
      </c>
      <c r="AS22" s="259">
        <f t="shared" si="29"/>
        <v>13.957475994513032</v>
      </c>
      <c r="AT22" s="65">
        <v>106746</v>
      </c>
      <c r="AU22" s="69">
        <f>AP22-AT22</f>
        <v>622254</v>
      </c>
      <c r="AV22" s="54">
        <f>(AU22/AP22)*100</f>
        <v>85.35720164609053</v>
      </c>
      <c r="AW22" s="55">
        <f>AW18*0.27</f>
        <v>729000</v>
      </c>
      <c r="AX22" s="223">
        <f>AX18*0.27</f>
        <v>729000</v>
      </c>
      <c r="AY22" s="69">
        <f t="shared" si="6"/>
        <v>729000</v>
      </c>
      <c r="AZ22" s="65">
        <f t="shared" si="13"/>
        <v>729000</v>
      </c>
      <c r="BA22" s="65">
        <f t="shared" si="14"/>
        <v>729000</v>
      </c>
      <c r="BB22" s="501">
        <v>729000</v>
      </c>
      <c r="BC22" s="501">
        <v>729000</v>
      </c>
      <c r="BD22" s="501">
        <v>181411</v>
      </c>
      <c r="BE22" s="501">
        <v>230435</v>
      </c>
      <c r="BF22" s="221">
        <v>237238</v>
      </c>
      <c r="BG22" s="540">
        <f t="shared" si="26"/>
        <v>284685.59999999998</v>
      </c>
      <c r="BH22" s="69">
        <v>540000</v>
      </c>
      <c r="BI22" s="69">
        <v>540000</v>
      </c>
      <c r="BJ22" s="65">
        <v>208971</v>
      </c>
      <c r="BK22" s="65">
        <v>307396</v>
      </c>
      <c r="BL22" s="69">
        <f t="shared" si="7"/>
        <v>368875.19999999995</v>
      </c>
      <c r="BM22" s="69">
        <f>BM21*0.18</f>
        <v>1080000</v>
      </c>
      <c r="BN22" s="69">
        <f>BN21*0.18</f>
        <v>1080000</v>
      </c>
      <c r="BO22" s="55">
        <v>505224</v>
      </c>
      <c r="BP22" s="55">
        <f>BO22/10*12</f>
        <v>606268.80000000005</v>
      </c>
      <c r="BQ22" s="55">
        <v>606269</v>
      </c>
      <c r="BR22" s="55">
        <v>1000000</v>
      </c>
      <c r="BS22" s="55">
        <v>1000000</v>
      </c>
      <c r="BT22" s="223">
        <v>1000000</v>
      </c>
      <c r="BU22" s="353">
        <v>1000000</v>
      </c>
      <c r="BV22" s="876">
        <v>950000</v>
      </c>
    </row>
    <row r="23" spans="1:74" x14ac:dyDescent="0.25">
      <c r="A23" s="54" t="s">
        <v>758</v>
      </c>
      <c r="B23" s="446"/>
      <c r="C23" s="55"/>
      <c r="D23" s="55"/>
      <c r="E23" s="55"/>
      <c r="F23" s="56"/>
      <c r="G23" s="56"/>
      <c r="H23" s="56"/>
      <c r="I23" s="56"/>
      <c r="J23" s="55"/>
      <c r="K23" s="55"/>
      <c r="L23" s="55"/>
      <c r="O23" s="55"/>
      <c r="P23" s="55"/>
      <c r="Q23" s="55"/>
      <c r="R23" s="55"/>
      <c r="S23" s="55"/>
      <c r="T23" s="55"/>
      <c r="U23" s="55"/>
      <c r="V23" s="55"/>
      <c r="W23" s="55"/>
      <c r="X23" s="122"/>
      <c r="Z23" s="140"/>
      <c r="AA23" s="69"/>
      <c r="AB23" s="55"/>
      <c r="AC23" s="55"/>
      <c r="AD23" s="55"/>
      <c r="AE23" s="122"/>
      <c r="AF23" s="55"/>
      <c r="AG23" s="55"/>
      <c r="AH23" s="217"/>
      <c r="AI23" s="261"/>
      <c r="AM23" s="347"/>
      <c r="AN23" s="347"/>
      <c r="AO23" s="353"/>
      <c r="AS23" s="259"/>
      <c r="AT23" s="65"/>
      <c r="AU23" s="69"/>
      <c r="AX23" s="223"/>
      <c r="AY23" s="69"/>
      <c r="AZ23" s="65"/>
      <c r="BA23" s="65"/>
      <c r="BB23" s="501"/>
      <c r="BE23" s="501"/>
      <c r="BF23" s="221"/>
      <c r="BG23" s="540"/>
      <c r="BH23" s="69"/>
      <c r="BI23" s="69"/>
      <c r="BJ23" s="65"/>
      <c r="BK23" s="65"/>
      <c r="BL23" s="69"/>
      <c r="BM23" s="69"/>
      <c r="BN23" s="69"/>
      <c r="BO23" s="55"/>
      <c r="BP23" s="55"/>
      <c r="BQ23" s="55"/>
      <c r="BR23" s="55"/>
      <c r="BS23" s="55"/>
      <c r="BT23" s="223"/>
      <c r="BU23" s="353"/>
      <c r="BV23" s="727"/>
    </row>
    <row r="24" spans="1:74" x14ac:dyDescent="0.25">
      <c r="A24" s="54" t="s">
        <v>24</v>
      </c>
      <c r="B24" s="58" t="s">
        <v>195</v>
      </c>
      <c r="C24" s="55">
        <v>0</v>
      </c>
      <c r="D24" s="55">
        <v>0</v>
      </c>
      <c r="E24" s="55">
        <v>0</v>
      </c>
      <c r="F24" s="56">
        <v>45</v>
      </c>
      <c r="G24" s="56"/>
      <c r="H24" s="56">
        <v>45</v>
      </c>
      <c r="I24" s="56">
        <f t="shared" si="1"/>
        <v>49.090909090909093</v>
      </c>
      <c r="J24" s="55"/>
      <c r="K24" s="55"/>
      <c r="L24" s="55"/>
      <c r="M24" s="1">
        <f t="shared" si="2"/>
        <v>0</v>
      </c>
      <c r="O24" s="55"/>
      <c r="P24" s="55">
        <v>2</v>
      </c>
      <c r="Q24" s="55">
        <v>2</v>
      </c>
      <c r="R24" s="55"/>
      <c r="S24" s="55"/>
      <c r="T24" s="55">
        <v>2</v>
      </c>
      <c r="U24" s="55"/>
      <c r="V24" s="55">
        <f t="shared" ref="V24:W24" si="31">U24</f>
        <v>0</v>
      </c>
      <c r="W24" s="55">
        <f t="shared" si="31"/>
        <v>0</v>
      </c>
      <c r="X24" s="122"/>
      <c r="Z24" s="140">
        <f t="shared" si="4"/>
        <v>0</v>
      </c>
      <c r="AA24" s="69">
        <f t="shared" si="25"/>
        <v>0</v>
      </c>
      <c r="AB24" s="55"/>
      <c r="AC24" s="55"/>
      <c r="AD24" s="55"/>
      <c r="AE24" s="122"/>
      <c r="AF24" s="55"/>
      <c r="AG24" s="55"/>
      <c r="AH24" s="217">
        <f t="shared" si="0"/>
        <v>0</v>
      </c>
      <c r="AI24" s="261"/>
      <c r="AK24" s="55">
        <f t="shared" si="5"/>
        <v>0</v>
      </c>
      <c r="AM24" s="347"/>
      <c r="AN24" s="347"/>
      <c r="AO24" s="353"/>
      <c r="AR24" s="65">
        <f t="shared" si="23"/>
        <v>0</v>
      </c>
      <c r="AS24" s="259"/>
      <c r="AT24" s="65"/>
      <c r="AU24" s="69"/>
      <c r="AX24" s="222"/>
      <c r="AY24" s="69">
        <f t="shared" si="6"/>
        <v>0</v>
      </c>
      <c r="AZ24" s="65">
        <f t="shared" si="13"/>
        <v>0</v>
      </c>
      <c r="BA24" s="65">
        <f t="shared" si="14"/>
        <v>0</v>
      </c>
      <c r="BB24" s="501"/>
      <c r="BE24" s="501"/>
      <c r="BF24" s="221"/>
      <c r="BG24" s="540">
        <f t="shared" si="26"/>
        <v>0</v>
      </c>
      <c r="BH24" s="69"/>
      <c r="BI24" s="69"/>
      <c r="BJ24" s="65"/>
      <c r="BK24" s="65"/>
      <c r="BL24" s="69">
        <f t="shared" si="7"/>
        <v>0</v>
      </c>
      <c r="BM24" s="54"/>
      <c r="BN24" s="54"/>
      <c r="BO24" s="55"/>
      <c r="BP24" s="55"/>
      <c r="BQ24" s="54"/>
      <c r="BR24" s="54"/>
      <c r="BS24" s="54"/>
      <c r="BT24" s="259"/>
      <c r="BU24" s="353"/>
      <c r="BV24" s="727"/>
    </row>
    <row r="25" spans="1:74" x14ac:dyDescent="0.25">
      <c r="A25" s="54" t="s">
        <v>25</v>
      </c>
      <c r="B25" s="446" t="s">
        <v>191</v>
      </c>
      <c r="C25" s="55">
        <v>0</v>
      </c>
      <c r="D25" s="55">
        <v>0</v>
      </c>
      <c r="E25" s="55">
        <v>0</v>
      </c>
      <c r="F25" s="56"/>
      <c r="G25" s="56"/>
      <c r="H25" s="56"/>
      <c r="I25" s="56">
        <f t="shared" si="1"/>
        <v>0</v>
      </c>
      <c r="J25" s="55"/>
      <c r="K25" s="55"/>
      <c r="L25" s="55"/>
      <c r="M25" s="1">
        <f t="shared" si="2"/>
        <v>0</v>
      </c>
      <c r="O25" s="55"/>
      <c r="P25" s="55">
        <v>20000</v>
      </c>
      <c r="Q25" s="55">
        <v>20000</v>
      </c>
      <c r="R25" s="55"/>
      <c r="S25" s="55"/>
      <c r="T25" s="55">
        <v>20000</v>
      </c>
      <c r="U25" s="55"/>
      <c r="V25" s="55">
        <f t="shared" ref="V25:W25" si="32">U25</f>
        <v>0</v>
      </c>
      <c r="W25" s="55">
        <f t="shared" si="32"/>
        <v>0</v>
      </c>
      <c r="X25" s="122"/>
      <c r="Z25" s="140">
        <f t="shared" si="4"/>
        <v>0</v>
      </c>
      <c r="AA25" s="69">
        <f t="shared" si="25"/>
        <v>0</v>
      </c>
      <c r="AB25" s="55"/>
      <c r="AC25" s="55"/>
      <c r="AD25" s="55"/>
      <c r="AE25" s="122"/>
      <c r="AF25" s="55"/>
      <c r="AG25" s="55"/>
      <c r="AH25" s="217">
        <f t="shared" si="0"/>
        <v>0</v>
      </c>
      <c r="AI25" s="261"/>
      <c r="AK25" s="55">
        <f t="shared" si="5"/>
        <v>0</v>
      </c>
      <c r="AM25" s="347"/>
      <c r="AN25" s="349"/>
      <c r="AO25" s="354"/>
      <c r="AR25" s="65">
        <f t="shared" si="23"/>
        <v>0</v>
      </c>
      <c r="AS25" s="259"/>
      <c r="AT25" s="65"/>
      <c r="AU25" s="69"/>
      <c r="AX25" s="222"/>
      <c r="AY25" s="69">
        <f t="shared" si="6"/>
        <v>0</v>
      </c>
      <c r="AZ25" s="65">
        <f t="shared" si="13"/>
        <v>0</v>
      </c>
      <c r="BA25" s="65">
        <f t="shared" si="14"/>
        <v>0</v>
      </c>
      <c r="BB25" s="501"/>
      <c r="BE25" s="501"/>
      <c r="BF25" s="221"/>
      <c r="BG25" s="540">
        <f t="shared" si="26"/>
        <v>0</v>
      </c>
      <c r="BH25" s="69"/>
      <c r="BI25" s="69"/>
      <c r="BJ25" s="65"/>
      <c r="BK25" s="65"/>
      <c r="BL25" s="69">
        <f t="shared" si="7"/>
        <v>0</v>
      </c>
      <c r="BM25" s="54"/>
      <c r="BN25" s="54"/>
      <c r="BO25" s="55"/>
      <c r="BP25" s="55"/>
      <c r="BQ25" s="54"/>
      <c r="BR25" s="54"/>
      <c r="BS25" s="54"/>
      <c r="BT25" s="259"/>
      <c r="BU25" s="353"/>
      <c r="BV25" s="727"/>
    </row>
    <row r="26" spans="1:74" x14ac:dyDescent="0.25">
      <c r="A26" s="54" t="s">
        <v>326</v>
      </c>
      <c r="B26" s="446" t="s">
        <v>327</v>
      </c>
      <c r="C26" s="55"/>
      <c r="D26" s="55"/>
      <c r="E26" s="55"/>
      <c r="F26" s="56"/>
      <c r="G26" s="56"/>
      <c r="H26" s="56"/>
      <c r="I26" s="56"/>
      <c r="J26" s="55"/>
      <c r="K26" s="55"/>
      <c r="L26" s="55"/>
      <c r="O26" s="55"/>
      <c r="P26" s="55"/>
      <c r="Q26" s="55"/>
      <c r="R26" s="55"/>
      <c r="S26" s="55"/>
      <c r="T26" s="55"/>
      <c r="U26" s="55"/>
      <c r="V26" s="55">
        <f t="shared" ref="V26:W26" si="33">U26</f>
        <v>0</v>
      </c>
      <c r="W26" s="55">
        <f t="shared" si="33"/>
        <v>0</v>
      </c>
      <c r="X26" s="122"/>
      <c r="Z26" s="140" t="e">
        <f t="shared" si="4"/>
        <v>#DIV/0!</v>
      </c>
      <c r="AA26" s="69">
        <f t="shared" si="25"/>
        <v>0</v>
      </c>
      <c r="AB26" s="55"/>
      <c r="AC26" s="55"/>
      <c r="AD26" s="55"/>
      <c r="AE26" s="122"/>
      <c r="AF26" s="55"/>
      <c r="AG26" s="55"/>
      <c r="AH26" s="217">
        <f t="shared" si="0"/>
        <v>0</v>
      </c>
      <c r="AI26" s="261"/>
      <c r="AK26" s="55">
        <f t="shared" si="5"/>
        <v>0</v>
      </c>
      <c r="AM26" s="347"/>
      <c r="AN26" s="349"/>
      <c r="AO26" s="354"/>
      <c r="AR26" s="65">
        <f t="shared" si="23"/>
        <v>0</v>
      </c>
      <c r="AS26" s="259"/>
      <c r="AT26" s="65"/>
      <c r="AU26" s="69"/>
      <c r="AX26" s="222"/>
      <c r="AY26" s="69">
        <f t="shared" si="6"/>
        <v>0</v>
      </c>
      <c r="AZ26" s="65">
        <f t="shared" si="13"/>
        <v>0</v>
      </c>
      <c r="BA26" s="65">
        <f t="shared" si="14"/>
        <v>0</v>
      </c>
      <c r="BB26" s="501"/>
      <c r="BE26" s="501"/>
      <c r="BF26" s="221"/>
      <c r="BG26" s="540">
        <f t="shared" si="26"/>
        <v>0</v>
      </c>
      <c r="BH26" s="69"/>
      <c r="BI26" s="69"/>
      <c r="BJ26" s="65"/>
      <c r="BK26" s="65"/>
      <c r="BL26" s="69">
        <f t="shared" si="7"/>
        <v>0</v>
      </c>
      <c r="BM26" s="54"/>
      <c r="BN26" s="54"/>
      <c r="BO26" s="55"/>
      <c r="BP26" s="55"/>
      <c r="BQ26" s="54"/>
      <c r="BR26" s="54"/>
      <c r="BS26" s="54"/>
      <c r="BT26" s="259"/>
      <c r="BU26" s="353"/>
      <c r="BV26" s="727"/>
    </row>
    <row r="27" spans="1:74" x14ac:dyDescent="0.25">
      <c r="A27" s="54" t="s">
        <v>247</v>
      </c>
      <c r="B27" s="446" t="s">
        <v>248</v>
      </c>
      <c r="C27" s="55"/>
      <c r="D27" s="55"/>
      <c r="E27" s="55"/>
      <c r="F27" s="56"/>
      <c r="G27" s="56"/>
      <c r="H27" s="56"/>
      <c r="I27" s="56">
        <f t="shared" si="1"/>
        <v>0</v>
      </c>
      <c r="J27" s="55"/>
      <c r="K27" s="55"/>
      <c r="L27" s="55"/>
      <c r="M27" s="1">
        <f t="shared" si="2"/>
        <v>0</v>
      </c>
      <c r="O27" s="55"/>
      <c r="P27" s="55"/>
      <c r="Q27" s="55"/>
      <c r="R27" s="55"/>
      <c r="S27" s="55"/>
      <c r="T27" s="55"/>
      <c r="U27" s="55"/>
      <c r="V27" s="55">
        <f t="shared" ref="V27:W27" si="34">U27</f>
        <v>0</v>
      </c>
      <c r="W27" s="55">
        <f t="shared" si="34"/>
        <v>0</v>
      </c>
      <c r="X27" s="122"/>
      <c r="Z27" s="140" t="e">
        <f t="shared" si="4"/>
        <v>#DIV/0!</v>
      </c>
      <c r="AA27" s="69">
        <f t="shared" si="25"/>
        <v>0</v>
      </c>
      <c r="AB27" s="55"/>
      <c r="AC27" s="55"/>
      <c r="AD27" s="55"/>
      <c r="AE27" s="122"/>
      <c r="AF27" s="55"/>
      <c r="AG27" s="55"/>
      <c r="AH27" s="217">
        <f t="shared" si="0"/>
        <v>0</v>
      </c>
      <c r="AI27" s="261"/>
      <c r="AK27" s="55">
        <f t="shared" si="5"/>
        <v>0</v>
      </c>
      <c r="AM27" s="347"/>
      <c r="AN27" s="349"/>
      <c r="AO27" s="354"/>
      <c r="AR27" s="65">
        <f t="shared" si="23"/>
        <v>0</v>
      </c>
      <c r="AS27" s="259"/>
      <c r="AT27" s="65"/>
      <c r="AU27" s="69"/>
      <c r="AX27" s="222"/>
      <c r="AY27" s="69">
        <f t="shared" si="6"/>
        <v>0</v>
      </c>
      <c r="AZ27" s="65">
        <f t="shared" si="13"/>
        <v>0</v>
      </c>
      <c r="BA27" s="65">
        <f t="shared" si="14"/>
        <v>0</v>
      </c>
      <c r="BB27" s="501"/>
      <c r="BE27" s="501"/>
      <c r="BF27" s="221"/>
      <c r="BG27" s="540">
        <f t="shared" si="26"/>
        <v>0</v>
      </c>
      <c r="BH27" s="69"/>
      <c r="BI27" s="69"/>
      <c r="BJ27" s="65"/>
      <c r="BK27" s="65"/>
      <c r="BL27" s="69">
        <f t="shared" si="7"/>
        <v>0</v>
      </c>
      <c r="BM27" s="54"/>
      <c r="BN27" s="54"/>
      <c r="BO27" s="55"/>
      <c r="BP27" s="55"/>
      <c r="BQ27" s="54"/>
      <c r="BR27" s="54"/>
      <c r="BS27" s="54"/>
      <c r="BT27" s="259"/>
      <c r="BU27" s="353"/>
      <c r="BV27" s="727"/>
    </row>
    <row r="28" spans="1:74" x14ac:dyDescent="0.25">
      <c r="A28" s="54" t="s">
        <v>249</v>
      </c>
      <c r="B28" s="446" t="s">
        <v>250</v>
      </c>
      <c r="C28" s="55"/>
      <c r="D28" s="55"/>
      <c r="E28" s="55"/>
      <c r="F28" s="56"/>
      <c r="G28" s="56"/>
      <c r="H28" s="56"/>
      <c r="I28" s="56">
        <f t="shared" si="1"/>
        <v>0</v>
      </c>
      <c r="J28" s="55"/>
      <c r="K28" s="55"/>
      <c r="L28" s="55"/>
      <c r="M28" s="1">
        <f t="shared" si="2"/>
        <v>0</v>
      </c>
      <c r="O28" s="55"/>
      <c r="P28" s="55"/>
      <c r="Q28" s="55"/>
      <c r="R28" s="55"/>
      <c r="S28" s="55"/>
      <c r="T28" s="55"/>
      <c r="U28" s="55"/>
      <c r="V28" s="55">
        <f t="shared" ref="V28:W28" si="35">U28</f>
        <v>0</v>
      </c>
      <c r="W28" s="55">
        <f t="shared" si="35"/>
        <v>0</v>
      </c>
      <c r="X28" s="122"/>
      <c r="Z28" s="140" t="e">
        <f t="shared" si="4"/>
        <v>#DIV/0!</v>
      </c>
      <c r="AA28" s="69">
        <f t="shared" si="25"/>
        <v>0</v>
      </c>
      <c r="AB28" s="55"/>
      <c r="AC28" s="55"/>
      <c r="AD28" s="55"/>
      <c r="AE28" s="122"/>
      <c r="AF28" s="55"/>
      <c r="AG28" s="55"/>
      <c r="AH28" s="217">
        <f t="shared" si="0"/>
        <v>0</v>
      </c>
      <c r="AI28" s="261"/>
      <c r="AK28" s="55">
        <f t="shared" si="5"/>
        <v>0</v>
      </c>
      <c r="AM28" s="347"/>
      <c r="AN28" s="349"/>
      <c r="AO28" s="354"/>
      <c r="AR28" s="65">
        <f t="shared" si="23"/>
        <v>0</v>
      </c>
      <c r="AS28" s="259"/>
      <c r="AT28" s="65"/>
      <c r="AU28" s="69"/>
      <c r="AX28" s="222"/>
      <c r="AY28" s="69">
        <f t="shared" si="6"/>
        <v>0</v>
      </c>
      <c r="AZ28" s="65">
        <f t="shared" si="13"/>
        <v>0</v>
      </c>
      <c r="BA28" s="65">
        <f t="shared" si="14"/>
        <v>0</v>
      </c>
      <c r="BB28" s="501"/>
      <c r="BE28" s="501"/>
      <c r="BF28" s="221"/>
      <c r="BG28" s="540">
        <f t="shared" si="26"/>
        <v>0</v>
      </c>
      <c r="BH28" s="69"/>
      <c r="BI28" s="69"/>
      <c r="BJ28" s="65"/>
      <c r="BK28" s="65"/>
      <c r="BL28" s="69">
        <f t="shared" si="7"/>
        <v>0</v>
      </c>
      <c r="BM28" s="54"/>
      <c r="BN28" s="54"/>
      <c r="BO28" s="55"/>
      <c r="BP28" s="55"/>
      <c r="BQ28" s="55"/>
      <c r="BR28" s="55"/>
      <c r="BS28" s="55"/>
      <c r="BT28" s="223"/>
      <c r="BU28" s="353"/>
      <c r="BV28" s="727"/>
    </row>
    <row r="29" spans="1:74" x14ac:dyDescent="0.25">
      <c r="A29" s="54" t="s">
        <v>251</v>
      </c>
      <c r="B29" s="446" t="s">
        <v>252</v>
      </c>
      <c r="C29" s="55"/>
      <c r="D29" s="55"/>
      <c r="E29" s="55"/>
      <c r="F29" s="56"/>
      <c r="G29" s="56"/>
      <c r="H29" s="56"/>
      <c r="I29" s="56">
        <f t="shared" si="1"/>
        <v>0</v>
      </c>
      <c r="J29" s="55"/>
      <c r="K29" s="55"/>
      <c r="L29" s="55"/>
      <c r="M29" s="1">
        <f t="shared" si="2"/>
        <v>0</v>
      </c>
      <c r="O29" s="55"/>
      <c r="P29" s="55"/>
      <c r="Q29" s="55"/>
      <c r="R29" s="55"/>
      <c r="S29" s="55"/>
      <c r="T29" s="55"/>
      <c r="U29" s="55"/>
      <c r="V29" s="55">
        <f t="shared" ref="V29:W29" si="36">U29</f>
        <v>0</v>
      </c>
      <c r="W29" s="55">
        <f t="shared" si="36"/>
        <v>0</v>
      </c>
      <c r="X29" s="122"/>
      <c r="Z29" s="140" t="e">
        <f t="shared" si="4"/>
        <v>#DIV/0!</v>
      </c>
      <c r="AA29" s="69">
        <f t="shared" si="25"/>
        <v>0</v>
      </c>
      <c r="AB29" s="55"/>
      <c r="AC29" s="55"/>
      <c r="AD29" s="55"/>
      <c r="AE29" s="122"/>
      <c r="AF29" s="55"/>
      <c r="AG29" s="55"/>
      <c r="AH29" s="217">
        <f t="shared" si="0"/>
        <v>0</v>
      </c>
      <c r="AI29" s="261"/>
      <c r="AK29" s="55">
        <f t="shared" si="5"/>
        <v>0</v>
      </c>
      <c r="AM29" s="347"/>
      <c r="AN29" s="349"/>
      <c r="AO29" s="354"/>
      <c r="AR29" s="65">
        <f t="shared" si="23"/>
        <v>0</v>
      </c>
      <c r="AS29" s="259"/>
      <c r="AT29" s="65"/>
      <c r="AU29" s="69"/>
      <c r="AX29" s="222"/>
      <c r="AY29" s="69">
        <f t="shared" si="6"/>
        <v>0</v>
      </c>
      <c r="AZ29" s="65">
        <f t="shared" si="13"/>
        <v>0</v>
      </c>
      <c r="BA29" s="65">
        <f t="shared" si="14"/>
        <v>0</v>
      </c>
      <c r="BB29" s="501"/>
      <c r="BE29" s="501"/>
      <c r="BF29" s="221"/>
      <c r="BG29" s="540">
        <f t="shared" si="26"/>
        <v>0</v>
      </c>
      <c r="BH29" s="69"/>
      <c r="BI29" s="69"/>
      <c r="BJ29" s="65"/>
      <c r="BK29" s="65"/>
      <c r="BL29" s="69">
        <f t="shared" si="7"/>
        <v>0</v>
      </c>
      <c r="BM29" s="54"/>
      <c r="BN29" s="54"/>
      <c r="BO29" s="55"/>
      <c r="BP29" s="55"/>
      <c r="BQ29" s="55"/>
      <c r="BR29" s="55"/>
      <c r="BS29" s="55"/>
      <c r="BT29" s="223"/>
      <c r="BU29" s="353"/>
      <c r="BV29" s="727"/>
    </row>
    <row r="30" spans="1:74" x14ac:dyDescent="0.25">
      <c r="A30" s="54" t="s">
        <v>235</v>
      </c>
      <c r="B30" s="446" t="s">
        <v>236</v>
      </c>
      <c r="C30" s="55"/>
      <c r="D30" s="55"/>
      <c r="E30" s="55"/>
      <c r="F30" s="56"/>
      <c r="G30" s="56"/>
      <c r="H30" s="56"/>
      <c r="I30" s="56">
        <f t="shared" si="1"/>
        <v>0</v>
      </c>
      <c r="J30" s="55"/>
      <c r="K30" s="55"/>
      <c r="L30" s="55"/>
      <c r="M30" s="1">
        <f t="shared" si="2"/>
        <v>0</v>
      </c>
      <c r="O30" s="55"/>
      <c r="P30" s="55"/>
      <c r="Q30" s="55"/>
      <c r="R30" s="55"/>
      <c r="S30" s="55"/>
      <c r="T30" s="55"/>
      <c r="U30" s="55"/>
      <c r="V30" s="55">
        <f t="shared" ref="V30:W30" si="37">U30</f>
        <v>0</v>
      </c>
      <c r="W30" s="55">
        <f t="shared" si="37"/>
        <v>0</v>
      </c>
      <c r="X30" s="122"/>
      <c r="Z30" s="140" t="e">
        <f t="shared" si="4"/>
        <v>#DIV/0!</v>
      </c>
      <c r="AA30" s="69">
        <f t="shared" si="25"/>
        <v>0</v>
      </c>
      <c r="AB30" s="55"/>
      <c r="AC30" s="55"/>
      <c r="AD30" s="55"/>
      <c r="AE30" s="122"/>
      <c r="AF30" s="55"/>
      <c r="AG30" s="55"/>
      <c r="AH30" s="217">
        <f t="shared" si="0"/>
        <v>0</v>
      </c>
      <c r="AI30" s="261"/>
      <c r="AK30" s="55">
        <f t="shared" si="5"/>
        <v>0</v>
      </c>
      <c r="AM30" s="347"/>
      <c r="AN30" s="349"/>
      <c r="AO30" s="354"/>
      <c r="AR30" s="65">
        <f t="shared" si="23"/>
        <v>0</v>
      </c>
      <c r="AS30" s="259"/>
      <c r="AT30" s="65"/>
      <c r="AU30" s="69"/>
      <c r="AX30" s="222"/>
      <c r="AY30" s="69">
        <f t="shared" si="6"/>
        <v>0</v>
      </c>
      <c r="AZ30" s="65">
        <f t="shared" si="13"/>
        <v>0</v>
      </c>
      <c r="BA30" s="65">
        <f t="shared" si="14"/>
        <v>0</v>
      </c>
      <c r="BB30" s="501"/>
      <c r="BE30" s="501"/>
      <c r="BF30" s="221"/>
      <c r="BG30" s="540">
        <f t="shared" si="26"/>
        <v>0</v>
      </c>
      <c r="BH30" s="69"/>
      <c r="BI30" s="69"/>
      <c r="BJ30" s="65"/>
      <c r="BK30" s="65"/>
      <c r="BL30" s="69">
        <f t="shared" si="7"/>
        <v>0</v>
      </c>
      <c r="BM30" s="54"/>
      <c r="BN30" s="54"/>
      <c r="BO30" s="55"/>
      <c r="BP30" s="55"/>
      <c r="BQ30" s="55"/>
      <c r="BR30" s="55"/>
      <c r="BS30" s="55"/>
      <c r="BT30" s="223"/>
      <c r="BU30" s="353"/>
      <c r="BV30" s="727"/>
    </row>
    <row r="31" spans="1:74" x14ac:dyDescent="0.25">
      <c r="A31" s="54" t="s">
        <v>26</v>
      </c>
      <c r="B31" s="58" t="s">
        <v>196</v>
      </c>
      <c r="C31" s="55">
        <v>0</v>
      </c>
      <c r="D31" s="55">
        <v>0</v>
      </c>
      <c r="E31" s="55">
        <v>0</v>
      </c>
      <c r="F31" s="56"/>
      <c r="G31" s="56"/>
      <c r="H31" s="56"/>
      <c r="I31" s="56">
        <f t="shared" si="1"/>
        <v>0</v>
      </c>
      <c r="J31" s="55"/>
      <c r="K31" s="55"/>
      <c r="L31" s="55"/>
      <c r="M31" s="1">
        <f t="shared" si="2"/>
        <v>0</v>
      </c>
      <c r="O31" s="55"/>
      <c r="P31" s="55"/>
      <c r="Q31" s="55"/>
      <c r="R31" s="55"/>
      <c r="S31" s="55"/>
      <c r="T31" s="55"/>
      <c r="U31" s="55"/>
      <c r="V31" s="55">
        <f t="shared" ref="V31:W31" si="38">U31</f>
        <v>0</v>
      </c>
      <c r="W31" s="55">
        <f t="shared" si="38"/>
        <v>0</v>
      </c>
      <c r="X31" s="122"/>
      <c r="Z31" s="140" t="e">
        <f t="shared" si="4"/>
        <v>#DIV/0!</v>
      </c>
      <c r="AA31" s="69">
        <f t="shared" si="25"/>
        <v>0</v>
      </c>
      <c r="AB31" s="55"/>
      <c r="AC31" s="55"/>
      <c r="AD31" s="55"/>
      <c r="AE31" s="122"/>
      <c r="AF31" s="55"/>
      <c r="AG31" s="55"/>
      <c r="AH31" s="217">
        <f t="shared" si="0"/>
        <v>0</v>
      </c>
      <c r="AI31" s="261"/>
      <c r="AK31" s="55">
        <f t="shared" si="5"/>
        <v>0</v>
      </c>
      <c r="AM31" s="347"/>
      <c r="AN31" s="349"/>
      <c r="AO31" s="354"/>
      <c r="AR31" s="65">
        <f t="shared" si="23"/>
        <v>0</v>
      </c>
      <c r="AS31" s="259"/>
      <c r="AT31" s="65"/>
      <c r="AU31" s="69"/>
      <c r="AX31" s="222"/>
      <c r="AY31" s="69">
        <f t="shared" si="6"/>
        <v>0</v>
      </c>
      <c r="AZ31" s="65">
        <f t="shared" si="13"/>
        <v>0</v>
      </c>
      <c r="BA31" s="65">
        <f t="shared" si="14"/>
        <v>0</v>
      </c>
      <c r="BB31" s="501"/>
      <c r="BE31" s="501"/>
      <c r="BF31" s="221"/>
      <c r="BG31" s="540">
        <f t="shared" si="26"/>
        <v>0</v>
      </c>
      <c r="BH31" s="69"/>
      <c r="BI31" s="69"/>
      <c r="BJ31" s="65"/>
      <c r="BK31" s="65"/>
      <c r="BL31" s="69">
        <f t="shared" si="7"/>
        <v>0</v>
      </c>
      <c r="BM31" s="54"/>
      <c r="BN31" s="54"/>
      <c r="BO31" s="55"/>
      <c r="BP31" s="55"/>
      <c r="BQ31" s="55"/>
      <c r="BR31" s="55"/>
      <c r="BS31" s="55"/>
      <c r="BT31" s="223"/>
      <c r="BU31" s="353"/>
      <c r="BV31" s="727"/>
    </row>
    <row r="32" spans="1:74" x14ac:dyDescent="0.25">
      <c r="A32" s="54" t="s">
        <v>241</v>
      </c>
      <c r="B32" s="58" t="s">
        <v>242</v>
      </c>
      <c r="C32" s="55"/>
      <c r="D32" s="55"/>
      <c r="E32" s="55"/>
      <c r="F32" s="56"/>
      <c r="G32" s="56"/>
      <c r="H32" s="56"/>
      <c r="I32" s="56">
        <f t="shared" si="1"/>
        <v>0</v>
      </c>
      <c r="J32" s="55"/>
      <c r="K32" s="55"/>
      <c r="L32" s="55"/>
      <c r="M32" s="1">
        <f t="shared" si="2"/>
        <v>0</v>
      </c>
      <c r="O32" s="55"/>
      <c r="P32" s="55"/>
      <c r="Q32" s="55"/>
      <c r="R32" s="55"/>
      <c r="S32" s="55"/>
      <c r="T32" s="55"/>
      <c r="U32" s="55"/>
      <c r="V32" s="55">
        <f t="shared" ref="V32:W32" si="39">U32</f>
        <v>0</v>
      </c>
      <c r="W32" s="55">
        <f t="shared" si="39"/>
        <v>0</v>
      </c>
      <c r="X32" s="122"/>
      <c r="Z32" s="140" t="e">
        <f t="shared" si="4"/>
        <v>#DIV/0!</v>
      </c>
      <c r="AA32" s="69">
        <f t="shared" si="25"/>
        <v>0</v>
      </c>
      <c r="AB32" s="55"/>
      <c r="AC32" s="55"/>
      <c r="AD32" s="55"/>
      <c r="AE32" s="122"/>
      <c r="AF32" s="55"/>
      <c r="AG32" s="55"/>
      <c r="AH32" s="217">
        <f t="shared" si="0"/>
        <v>0</v>
      </c>
      <c r="AI32" s="261"/>
      <c r="AK32" s="55">
        <f t="shared" si="5"/>
        <v>0</v>
      </c>
      <c r="AM32" s="347"/>
      <c r="AN32" s="349"/>
      <c r="AO32" s="354"/>
      <c r="AR32" s="65">
        <f t="shared" si="23"/>
        <v>0</v>
      </c>
      <c r="AS32" s="259"/>
      <c r="AT32" s="65"/>
      <c r="AU32" s="69"/>
      <c r="AX32" s="222"/>
      <c r="AY32" s="69">
        <f t="shared" si="6"/>
        <v>0</v>
      </c>
      <c r="AZ32" s="65">
        <f t="shared" si="13"/>
        <v>0</v>
      </c>
      <c r="BA32" s="65">
        <f t="shared" si="14"/>
        <v>0</v>
      </c>
      <c r="BB32" s="501"/>
      <c r="BE32" s="501"/>
      <c r="BF32" s="221"/>
      <c r="BG32" s="540">
        <f t="shared" si="26"/>
        <v>0</v>
      </c>
      <c r="BH32" s="69"/>
      <c r="BI32" s="69"/>
      <c r="BJ32" s="65"/>
      <c r="BK32" s="65"/>
      <c r="BL32" s="69">
        <f t="shared" si="7"/>
        <v>0</v>
      </c>
      <c r="BM32" s="54"/>
      <c r="BN32" s="54"/>
      <c r="BO32" s="55"/>
      <c r="BP32" s="55"/>
      <c r="BQ32" s="55"/>
      <c r="BR32" s="55"/>
      <c r="BS32" s="55"/>
      <c r="BT32" s="223"/>
      <c r="BU32" s="353"/>
      <c r="BV32" s="727"/>
    </row>
    <row r="33" spans="1:89" x14ac:dyDescent="0.25">
      <c r="A33" s="54" t="s">
        <v>253</v>
      </c>
      <c r="B33" s="58" t="s">
        <v>254</v>
      </c>
      <c r="C33" s="55"/>
      <c r="D33" s="55"/>
      <c r="E33" s="55"/>
      <c r="F33" s="56"/>
      <c r="G33" s="56"/>
      <c r="H33" s="56"/>
      <c r="I33" s="56">
        <f t="shared" si="1"/>
        <v>0</v>
      </c>
      <c r="J33" s="55"/>
      <c r="K33" s="55"/>
      <c r="L33" s="55"/>
      <c r="M33" s="1">
        <f t="shared" si="2"/>
        <v>0</v>
      </c>
      <c r="O33" s="55"/>
      <c r="P33" s="55"/>
      <c r="Q33" s="55"/>
      <c r="R33" s="55"/>
      <c r="S33" s="55"/>
      <c r="T33" s="55"/>
      <c r="U33" s="55"/>
      <c r="V33" s="55">
        <f t="shared" ref="V33:W33" si="40">U33</f>
        <v>0</v>
      </c>
      <c r="W33" s="55">
        <f t="shared" si="40"/>
        <v>0</v>
      </c>
      <c r="X33" s="122"/>
      <c r="Z33" s="140" t="e">
        <f t="shared" si="4"/>
        <v>#DIV/0!</v>
      </c>
      <c r="AA33" s="69">
        <f t="shared" si="25"/>
        <v>0</v>
      </c>
      <c r="AB33" s="55"/>
      <c r="AC33" s="55"/>
      <c r="AD33" s="55"/>
      <c r="AE33" s="122"/>
      <c r="AF33" s="55"/>
      <c r="AG33" s="55"/>
      <c r="AH33" s="217">
        <f t="shared" si="0"/>
        <v>0</v>
      </c>
      <c r="AI33" s="261"/>
      <c r="AK33" s="55">
        <f t="shared" si="5"/>
        <v>0</v>
      </c>
      <c r="AM33" s="347"/>
      <c r="AN33" s="349"/>
      <c r="AO33" s="354"/>
      <c r="AR33" s="65">
        <f t="shared" si="23"/>
        <v>0</v>
      </c>
      <c r="AS33" s="259"/>
      <c r="AT33" s="65"/>
      <c r="AU33" s="69"/>
      <c r="AX33" s="222"/>
      <c r="AY33" s="69">
        <f t="shared" si="6"/>
        <v>0</v>
      </c>
      <c r="AZ33" s="65">
        <f t="shared" si="13"/>
        <v>0</v>
      </c>
      <c r="BA33" s="65">
        <f t="shared" si="14"/>
        <v>0</v>
      </c>
      <c r="BB33" s="501"/>
      <c r="BE33" s="501"/>
      <c r="BF33" s="221"/>
      <c r="BG33" s="540">
        <f t="shared" si="26"/>
        <v>0</v>
      </c>
      <c r="BH33" s="69"/>
      <c r="BI33" s="69"/>
      <c r="BJ33" s="65"/>
      <c r="BK33" s="65"/>
      <c r="BL33" s="69">
        <f t="shared" si="7"/>
        <v>0</v>
      </c>
      <c r="BM33" s="54"/>
      <c r="BN33" s="54"/>
      <c r="BO33" s="55"/>
      <c r="BP33" s="55"/>
      <c r="BQ33" s="55"/>
      <c r="BR33" s="55"/>
      <c r="BS33" s="55"/>
      <c r="BT33" s="223"/>
      <c r="BU33" s="353"/>
      <c r="BV33" s="727"/>
    </row>
    <row r="34" spans="1:89" x14ac:dyDescent="0.25">
      <c r="A34" s="54" t="s">
        <v>663</v>
      </c>
      <c r="B34" s="58" t="s">
        <v>664</v>
      </c>
      <c r="C34" s="55"/>
      <c r="D34" s="55"/>
      <c r="E34" s="55"/>
      <c r="F34" s="56"/>
      <c r="G34" s="56"/>
      <c r="H34" s="56"/>
      <c r="I34" s="56"/>
      <c r="J34" s="55"/>
      <c r="K34" s="55"/>
      <c r="L34" s="55"/>
      <c r="O34" s="55"/>
      <c r="P34" s="55"/>
      <c r="Q34" s="55"/>
      <c r="R34" s="55"/>
      <c r="S34" s="55"/>
      <c r="T34" s="55"/>
      <c r="U34" s="55"/>
      <c r="V34" s="55"/>
      <c r="W34" s="55"/>
      <c r="X34" s="122"/>
      <c r="Z34" s="140"/>
      <c r="AA34" s="69"/>
      <c r="AB34" s="55"/>
      <c r="AC34" s="55"/>
      <c r="AD34" s="55"/>
      <c r="AE34" s="122"/>
      <c r="AF34" s="55"/>
      <c r="AG34" s="55"/>
      <c r="AH34" s="217"/>
      <c r="AI34" s="261"/>
      <c r="AM34" s="347"/>
      <c r="AN34" s="349"/>
      <c r="AO34" s="354"/>
      <c r="AS34" s="259"/>
      <c r="AT34" s="65"/>
      <c r="AU34" s="69"/>
      <c r="AX34" s="222"/>
      <c r="AY34" s="69"/>
      <c r="AZ34" s="65"/>
      <c r="BA34" s="65"/>
      <c r="BB34" s="501"/>
      <c r="BE34" s="501"/>
      <c r="BF34" s="221"/>
      <c r="BG34" s="540"/>
      <c r="BH34" s="69"/>
      <c r="BI34" s="69"/>
      <c r="BJ34" s="65"/>
      <c r="BK34" s="65"/>
      <c r="BL34" s="69"/>
      <c r="BM34" s="54"/>
      <c r="BN34" s="54"/>
      <c r="BO34" s="55"/>
      <c r="BP34" s="55"/>
      <c r="BQ34" s="55"/>
      <c r="BR34" s="55"/>
      <c r="BS34" s="55"/>
      <c r="BT34" s="223"/>
      <c r="BU34" s="353"/>
      <c r="BV34" s="727"/>
    </row>
    <row r="35" spans="1:89" x14ac:dyDescent="0.25">
      <c r="A35" s="54" t="s">
        <v>27</v>
      </c>
      <c r="B35" s="446" t="s">
        <v>192</v>
      </c>
      <c r="C35" s="55">
        <v>0</v>
      </c>
      <c r="D35" s="55">
        <v>203000</v>
      </c>
      <c r="E35" s="55">
        <v>0</v>
      </c>
      <c r="F35" s="56">
        <v>116410</v>
      </c>
      <c r="G35" s="56">
        <v>116410</v>
      </c>
      <c r="H35" s="56">
        <v>116410</v>
      </c>
      <c r="I35" s="56">
        <f t="shared" si="1"/>
        <v>126992.72727272726</v>
      </c>
      <c r="J35" s="55"/>
      <c r="K35" s="55"/>
      <c r="L35" s="55"/>
      <c r="M35" s="1">
        <f t="shared" si="2"/>
        <v>0</v>
      </c>
      <c r="O35" s="55">
        <v>812353</v>
      </c>
      <c r="P35" s="55">
        <v>812353</v>
      </c>
      <c r="Q35" s="55">
        <v>812353</v>
      </c>
      <c r="R35" s="55"/>
      <c r="S35" s="55">
        <v>812353</v>
      </c>
      <c r="T35" s="55">
        <v>812353</v>
      </c>
      <c r="U35" s="55"/>
      <c r="V35" s="55">
        <f t="shared" ref="V35:W35" si="41">U35</f>
        <v>0</v>
      </c>
      <c r="W35" s="55">
        <f t="shared" si="41"/>
        <v>0</v>
      </c>
      <c r="X35" s="122"/>
      <c r="Z35" s="140">
        <f t="shared" si="4"/>
        <v>0</v>
      </c>
      <c r="AA35" s="69">
        <f t="shared" si="25"/>
        <v>0</v>
      </c>
      <c r="AB35" s="55">
        <v>2035101</v>
      </c>
      <c r="AC35" s="55">
        <v>2035101</v>
      </c>
      <c r="AD35" s="55">
        <v>2035101</v>
      </c>
      <c r="AE35" s="122"/>
      <c r="AF35" s="55"/>
      <c r="AG35" s="55"/>
      <c r="AH35" s="217">
        <f t="shared" si="0"/>
        <v>0</v>
      </c>
      <c r="AI35" s="261"/>
      <c r="AK35" s="55">
        <f t="shared" si="5"/>
        <v>0</v>
      </c>
      <c r="AM35" s="347">
        <v>2035101</v>
      </c>
      <c r="AN35" s="349"/>
      <c r="AO35" s="354"/>
      <c r="AP35" s="65">
        <v>3445587</v>
      </c>
      <c r="AQ35" s="65">
        <v>3445587</v>
      </c>
      <c r="AR35" s="65">
        <v>3445587</v>
      </c>
      <c r="AS35" s="65">
        <v>3445587</v>
      </c>
      <c r="AT35" s="65">
        <v>3445587</v>
      </c>
      <c r="AU35" s="69"/>
      <c r="AX35" s="222"/>
      <c r="AY35" s="69">
        <f t="shared" si="6"/>
        <v>0</v>
      </c>
      <c r="AZ35" s="65">
        <v>603247</v>
      </c>
      <c r="BA35" s="65">
        <f t="shared" si="14"/>
        <v>603247</v>
      </c>
      <c r="BB35" s="501">
        <v>603247</v>
      </c>
      <c r="BC35" s="501">
        <v>4184734</v>
      </c>
      <c r="BD35" s="501">
        <v>4184734</v>
      </c>
      <c r="BE35" s="501">
        <v>4184734</v>
      </c>
      <c r="BF35" s="221">
        <v>4184734</v>
      </c>
      <c r="BG35" s="540">
        <f t="shared" si="26"/>
        <v>5021680.8000000007</v>
      </c>
      <c r="BH35" s="69">
        <v>1090648</v>
      </c>
      <c r="BI35" s="69">
        <v>5792646</v>
      </c>
      <c r="BJ35" s="65">
        <v>5792646</v>
      </c>
      <c r="BK35" s="65">
        <v>5792646</v>
      </c>
      <c r="BL35" s="69"/>
      <c r="BM35" s="55">
        <v>1009127</v>
      </c>
      <c r="BN35" s="55">
        <v>1009127</v>
      </c>
      <c r="BO35" s="55">
        <f>8374513+1661361</f>
        <v>10035874</v>
      </c>
      <c r="BP35" s="55">
        <v>10035874</v>
      </c>
      <c r="BQ35" s="55">
        <v>1661361</v>
      </c>
      <c r="BR35" s="55">
        <v>1661361</v>
      </c>
      <c r="BS35" s="55">
        <v>1661361</v>
      </c>
      <c r="BT35" s="245">
        <v>1672188</v>
      </c>
      <c r="BU35" s="353">
        <v>927402</v>
      </c>
      <c r="BV35" s="876"/>
    </row>
    <row r="36" spans="1:89" x14ac:dyDescent="0.25">
      <c r="A36" s="54">
        <v>814</v>
      </c>
      <c r="B36" s="446" t="s">
        <v>442</v>
      </c>
      <c r="C36" s="55"/>
      <c r="D36" s="55"/>
      <c r="E36" s="55"/>
      <c r="F36" s="56"/>
      <c r="G36" s="56"/>
      <c r="H36" s="56"/>
      <c r="I36" s="56"/>
      <c r="J36" s="55"/>
      <c r="K36" s="55"/>
      <c r="L36" s="55"/>
      <c r="O36" s="55"/>
      <c r="P36" s="55"/>
      <c r="Q36" s="55"/>
      <c r="R36" s="55"/>
      <c r="S36" s="55"/>
      <c r="T36" s="55"/>
      <c r="U36" s="55"/>
      <c r="V36" s="55"/>
      <c r="W36" s="55"/>
      <c r="X36" s="122"/>
      <c r="Z36" s="140"/>
      <c r="AA36" s="69"/>
      <c r="AB36" s="55"/>
      <c r="AC36" s="55"/>
      <c r="AD36" s="55"/>
      <c r="AE36" s="122"/>
      <c r="AF36" s="55"/>
      <c r="AG36" s="55"/>
      <c r="AH36" s="217">
        <f t="shared" si="0"/>
        <v>0</v>
      </c>
      <c r="AI36" s="261"/>
      <c r="AK36" s="55">
        <f t="shared" si="5"/>
        <v>0</v>
      </c>
      <c r="AM36" s="347"/>
      <c r="AN36" s="349"/>
      <c r="AO36" s="354"/>
      <c r="AR36" s="65">
        <f t="shared" si="23"/>
        <v>0</v>
      </c>
      <c r="AS36" s="259"/>
      <c r="AT36" s="65"/>
      <c r="AU36" s="69"/>
      <c r="AX36" s="222"/>
      <c r="AY36" s="69">
        <f t="shared" si="6"/>
        <v>0</v>
      </c>
      <c r="AZ36" s="65">
        <f t="shared" si="13"/>
        <v>0</v>
      </c>
      <c r="BA36" s="65">
        <f t="shared" si="14"/>
        <v>0</v>
      </c>
      <c r="BB36" s="501"/>
      <c r="BE36" s="501"/>
      <c r="BF36" s="221"/>
      <c r="BG36" s="540">
        <f t="shared" si="26"/>
        <v>0</v>
      </c>
      <c r="BH36" s="69"/>
      <c r="BI36" s="69"/>
      <c r="BJ36" s="65"/>
      <c r="BK36" s="65"/>
      <c r="BL36" s="69">
        <f t="shared" si="7"/>
        <v>0</v>
      </c>
      <c r="BM36" s="54"/>
      <c r="BN36" s="54"/>
      <c r="BO36" s="55"/>
      <c r="BP36" s="55"/>
      <c r="BQ36" s="55"/>
      <c r="BR36" s="55"/>
      <c r="BS36" s="55"/>
      <c r="BT36" s="223"/>
      <c r="BU36" s="353"/>
      <c r="BV36" s="727"/>
    </row>
    <row r="37" spans="1:89" x14ac:dyDescent="0.25">
      <c r="A37" s="54" t="s">
        <v>28</v>
      </c>
      <c r="B37" s="58" t="s">
        <v>197</v>
      </c>
      <c r="C37" s="55">
        <v>33598595</v>
      </c>
      <c r="D37" s="55">
        <v>26577388</v>
      </c>
      <c r="E37" s="55">
        <v>38380525</v>
      </c>
      <c r="F37" s="56">
        <v>28541866</v>
      </c>
      <c r="G37" s="56">
        <v>38380525</v>
      </c>
      <c r="H37" s="56">
        <v>31783172</v>
      </c>
      <c r="I37" s="56">
        <f t="shared" si="1"/>
        <v>34672551.272727273</v>
      </c>
      <c r="J37" s="55">
        <v>46114274</v>
      </c>
      <c r="K37" s="55">
        <v>42857423</v>
      </c>
      <c r="L37" s="55">
        <f>L104-L18</f>
        <v>41907423</v>
      </c>
      <c r="M37" s="1">
        <f t="shared" si="2"/>
        <v>120.8662802756125</v>
      </c>
      <c r="O37" s="55">
        <v>42857423</v>
      </c>
      <c r="P37" s="55">
        <v>28216129</v>
      </c>
      <c r="Q37" s="55">
        <v>34332798</v>
      </c>
      <c r="R37" s="55">
        <f>R104-R18</f>
        <v>41907423</v>
      </c>
      <c r="S37" s="55">
        <v>43681423</v>
      </c>
      <c r="T37" s="55">
        <v>42195789</v>
      </c>
      <c r="U37" s="55">
        <f>U104-SUM(U18:U26)</f>
        <v>40667018.480000004</v>
      </c>
      <c r="V37" s="55">
        <f>V104-SUM(V18:V26)</f>
        <v>40667018.480000004</v>
      </c>
      <c r="W37" s="55">
        <f>W104-SUM(W18:W26)</f>
        <v>40145018.480000004</v>
      </c>
      <c r="X37" s="122">
        <f t="shared" si="22"/>
        <v>103.7592392487584</v>
      </c>
      <c r="Z37" s="140">
        <f t="shared" si="4"/>
        <v>0.95139869241454411</v>
      </c>
      <c r="AA37" s="69">
        <f>AA104-SUM(AA18:AA35)</f>
        <v>43049968.480000004</v>
      </c>
      <c r="AB37" s="55">
        <v>20608068</v>
      </c>
      <c r="AC37" s="55">
        <v>29234902</v>
      </c>
      <c r="AD37" s="55">
        <v>32488933</v>
      </c>
      <c r="AE37" s="122">
        <f>AD37/AA37*100</f>
        <v>75.467960017423906</v>
      </c>
      <c r="AF37" s="55">
        <v>43049968</v>
      </c>
      <c r="AG37" s="1">
        <v>34741765</v>
      </c>
      <c r="AH37" s="217">
        <f t="shared" si="0"/>
        <v>41690118</v>
      </c>
      <c r="AI37" s="261">
        <v>35954160</v>
      </c>
      <c r="AJ37" s="65">
        <v>3482520</v>
      </c>
      <c r="AK37" s="55">
        <v>47245821.200000003</v>
      </c>
      <c r="AL37" s="55">
        <v>50558525.200000003</v>
      </c>
      <c r="AM37" s="347">
        <v>43896752</v>
      </c>
      <c r="AN37" s="352">
        <v>49872525</v>
      </c>
      <c r="AO37" s="355">
        <v>23305695</v>
      </c>
      <c r="AP37" s="65">
        <v>46426938</v>
      </c>
      <c r="AQ37" s="65">
        <v>33163415</v>
      </c>
      <c r="AR37" s="65">
        <f t="shared" ref="AR37:AR43" si="42">AP37-AQ37</f>
        <v>13263523</v>
      </c>
      <c r="AS37" s="259">
        <f t="shared" si="29"/>
        <v>71.431406912943515</v>
      </c>
      <c r="AT37" s="65">
        <v>37539030</v>
      </c>
      <c r="AU37" s="69">
        <f>AP37-AT37</f>
        <v>8887908</v>
      </c>
      <c r="AV37" s="54">
        <f>(AU37/AP37)*100</f>
        <v>19.143859971984366</v>
      </c>
      <c r="AW37" s="69">
        <f t="shared" ref="AW37:AY37" si="43">AW104-AW18-AW21-AW22</f>
        <v>50812525.200000003</v>
      </c>
      <c r="AX37" s="69">
        <f t="shared" si="43"/>
        <v>52291621.616000004</v>
      </c>
      <c r="AY37" s="69">
        <f t="shared" si="43"/>
        <v>52291621.616000004</v>
      </c>
      <c r="AZ37" s="69">
        <f>AZ104-AZ18-AZ21-AZ22-AZ35</f>
        <v>54369060</v>
      </c>
      <c r="BA37" s="69">
        <f>BA104-BA18-BA21-BA22</f>
        <v>52974032</v>
      </c>
      <c r="BB37" s="501">
        <v>54369060</v>
      </c>
      <c r="BC37" s="501">
        <v>54369060</v>
      </c>
      <c r="BD37" s="501">
        <v>32314893</v>
      </c>
      <c r="BE37" s="501">
        <v>41545612</v>
      </c>
      <c r="BF37" s="221">
        <v>46228163</v>
      </c>
      <c r="BG37" s="540">
        <f t="shared" si="26"/>
        <v>55473795.599999994</v>
      </c>
      <c r="BH37" s="69">
        <v>66744952</v>
      </c>
      <c r="BI37" s="69">
        <v>76744952</v>
      </c>
      <c r="BJ37" s="65">
        <v>32690296</v>
      </c>
      <c r="BK37" s="65">
        <v>56537508</v>
      </c>
      <c r="BL37" s="69">
        <v>69178548</v>
      </c>
      <c r="BM37" s="55">
        <v>89240377</v>
      </c>
      <c r="BN37" s="55">
        <v>89240377</v>
      </c>
      <c r="BO37" s="55">
        <v>59396144</v>
      </c>
      <c r="BP37" s="55">
        <v>71763772</v>
      </c>
      <c r="BQ37" s="55">
        <v>89133400</v>
      </c>
      <c r="BR37" s="65">
        <v>77869994</v>
      </c>
      <c r="BS37" s="65">
        <v>90786017</v>
      </c>
      <c r="BT37" s="245">
        <v>90455390</v>
      </c>
      <c r="BU37" s="729">
        <v>119367398</v>
      </c>
      <c r="BV37" s="727">
        <v>126957500</v>
      </c>
    </row>
    <row r="38" spans="1:89" x14ac:dyDescent="0.25">
      <c r="A38" s="54" t="s">
        <v>29</v>
      </c>
      <c r="B38" s="446"/>
      <c r="C38" s="55">
        <v>0</v>
      </c>
      <c r="D38" s="55">
        <v>0</v>
      </c>
      <c r="E38" s="55">
        <v>0</v>
      </c>
      <c r="F38" s="56"/>
      <c r="G38" s="56"/>
      <c r="H38" s="56"/>
      <c r="I38" s="56">
        <f t="shared" si="1"/>
        <v>0</v>
      </c>
      <c r="J38" s="55"/>
      <c r="K38" s="55"/>
      <c r="L38" s="55"/>
      <c r="M38" s="1">
        <f t="shared" si="2"/>
        <v>0</v>
      </c>
      <c r="O38" s="55"/>
      <c r="P38" s="55"/>
      <c r="Q38" s="55"/>
      <c r="R38" s="55">
        <f t="shared" ref="R38" si="44">L38</f>
        <v>0</v>
      </c>
      <c r="S38" s="55"/>
      <c r="T38" s="55"/>
      <c r="U38" s="55"/>
      <c r="V38" s="55">
        <f t="shared" ref="V38:W38" si="45">U38</f>
        <v>0</v>
      </c>
      <c r="W38" s="55">
        <f t="shared" si="45"/>
        <v>0</v>
      </c>
      <c r="X38" s="122"/>
      <c r="Z38" s="140" t="e">
        <f t="shared" si="4"/>
        <v>#DIV/0!</v>
      </c>
      <c r="AA38" s="69">
        <f t="shared" si="25"/>
        <v>0</v>
      </c>
      <c r="AB38" s="55"/>
      <c r="AC38" s="55"/>
      <c r="AD38" s="55"/>
      <c r="AE38" s="122"/>
      <c r="AF38" s="55"/>
      <c r="AG38" s="55"/>
      <c r="AH38" s="217">
        <f t="shared" si="0"/>
        <v>0</v>
      </c>
      <c r="AI38" s="261"/>
      <c r="AK38" s="55">
        <f t="shared" si="5"/>
        <v>0</v>
      </c>
      <c r="AM38" s="347"/>
      <c r="AN38" s="349"/>
      <c r="AO38" s="354"/>
      <c r="AR38" s="65">
        <f t="shared" si="42"/>
        <v>0</v>
      </c>
      <c r="AS38" s="259"/>
      <c r="AT38" s="65"/>
      <c r="AU38" s="69"/>
      <c r="AX38" s="222"/>
      <c r="AY38" s="69">
        <f t="shared" si="6"/>
        <v>0</v>
      </c>
      <c r="AZ38" s="65"/>
      <c r="BA38" s="65"/>
      <c r="BB38" s="501"/>
      <c r="BE38" s="501"/>
      <c r="BF38" s="221"/>
      <c r="BG38" s="540"/>
      <c r="BH38" s="69"/>
      <c r="BI38" s="69"/>
      <c r="BJ38" s="65"/>
      <c r="BK38" s="65"/>
      <c r="BL38" s="69">
        <f t="shared" si="7"/>
        <v>0</v>
      </c>
      <c r="BM38" s="54"/>
      <c r="BN38" s="54"/>
      <c r="BO38" s="55"/>
      <c r="BP38" s="55"/>
      <c r="BQ38" s="55"/>
      <c r="BR38" s="55"/>
      <c r="BS38" s="55"/>
      <c r="BT38" s="223"/>
      <c r="BU38" s="353"/>
      <c r="BV38" s="727"/>
    </row>
    <row r="39" spans="1:89" s="39" customFormat="1" x14ac:dyDescent="0.25">
      <c r="A39" s="59" t="s">
        <v>30</v>
      </c>
      <c r="B39" s="447" t="s">
        <v>140</v>
      </c>
      <c r="C39" s="60">
        <v>18163760</v>
      </c>
      <c r="D39" s="60">
        <v>19482130</v>
      </c>
      <c r="E39" s="60">
        <v>21935676</v>
      </c>
      <c r="F39" s="61">
        <v>17902239</v>
      </c>
      <c r="G39" s="61">
        <v>21002673</v>
      </c>
      <c r="H39" s="61">
        <v>19762546</v>
      </c>
      <c r="I39" s="61">
        <v>21324951</v>
      </c>
      <c r="J39" s="60">
        <v>25764136</v>
      </c>
      <c r="K39" s="60">
        <v>25310288</v>
      </c>
      <c r="L39" s="60">
        <f>23910288+1400000</f>
        <v>25310288</v>
      </c>
      <c r="M39" s="38">
        <f t="shared" si="2"/>
        <v>118.68861035132039</v>
      </c>
      <c r="O39" s="60">
        <v>24050288</v>
      </c>
      <c r="P39" s="60">
        <v>18644556</v>
      </c>
      <c r="Q39" s="60">
        <v>20737342</v>
      </c>
      <c r="R39" s="60">
        <v>25310288</v>
      </c>
      <c r="S39" s="60">
        <v>25106360</v>
      </c>
      <c r="T39" s="60">
        <v>25106360</v>
      </c>
      <c r="U39" s="60">
        <f>25816704+996960</f>
        <v>26813664</v>
      </c>
      <c r="V39" s="60">
        <f t="shared" ref="V39:W39" si="46">U39</f>
        <v>26813664</v>
      </c>
      <c r="W39" s="60">
        <f t="shared" si="46"/>
        <v>26813664</v>
      </c>
      <c r="X39" s="123">
        <f t="shared" si="22"/>
        <v>93.632709054607375</v>
      </c>
      <c r="Z39" s="140">
        <f t="shared" si="4"/>
        <v>1.0680028486805733</v>
      </c>
      <c r="AA39" s="151">
        <f>W39+1904950</f>
        <v>28718614</v>
      </c>
      <c r="AB39" s="60">
        <v>13418884</v>
      </c>
      <c r="AC39" s="60">
        <v>18418026</v>
      </c>
      <c r="AD39" s="60">
        <v>20885656</v>
      </c>
      <c r="AE39" s="123">
        <f>AD39/AA39*100</f>
        <v>72.725153101051461</v>
      </c>
      <c r="AF39" s="60">
        <v>28598614</v>
      </c>
      <c r="AG39" s="60">
        <v>23372787</v>
      </c>
      <c r="AH39" s="217">
        <f t="shared" si="0"/>
        <v>28047344.400000002</v>
      </c>
      <c r="AI39" s="217">
        <v>30927144</v>
      </c>
      <c r="AJ39" s="65">
        <v>3272520</v>
      </c>
      <c r="AK39" s="60">
        <f t="shared" si="5"/>
        <v>34199664</v>
      </c>
      <c r="AL39" s="60">
        <f>34199664+480000</f>
        <v>34679664</v>
      </c>
      <c r="AM39" s="348">
        <v>28392155</v>
      </c>
      <c r="AN39" s="350">
        <v>34429664</v>
      </c>
      <c r="AO39" s="356">
        <v>16148193</v>
      </c>
      <c r="AP39" s="65">
        <v>34429664</v>
      </c>
      <c r="AQ39" s="60">
        <v>24369940</v>
      </c>
      <c r="AR39" s="60">
        <f t="shared" si="42"/>
        <v>10059724</v>
      </c>
      <c r="AS39" s="661">
        <f t="shared" si="29"/>
        <v>70.781811870136167</v>
      </c>
      <c r="AT39" s="60">
        <v>27238542</v>
      </c>
      <c r="AU39" s="124">
        <f>AP39-AT39</f>
        <v>7191122</v>
      </c>
      <c r="AV39" s="59">
        <f>(AU39/AP39)*100</f>
        <v>20.886413529914204</v>
      </c>
      <c r="AW39" s="60">
        <f>34199664+480000</f>
        <v>34679664</v>
      </c>
      <c r="AX39" s="217">
        <f>AW39*1.08</f>
        <v>37454037.120000005</v>
      </c>
      <c r="AY39" s="124">
        <f>AX39</f>
        <v>37454037.120000005</v>
      </c>
      <c r="AZ39" s="124">
        <v>41194872</v>
      </c>
      <c r="BA39" s="124">
        <v>37454037</v>
      </c>
      <c r="BB39" s="60">
        <v>41194872</v>
      </c>
      <c r="BC39" s="60">
        <v>38612992</v>
      </c>
      <c r="BD39" s="60">
        <v>22856843</v>
      </c>
      <c r="BE39" s="60">
        <v>30181009</v>
      </c>
      <c r="BF39" s="60">
        <v>33635795</v>
      </c>
      <c r="BG39" s="124">
        <f>BF39/11*12</f>
        <v>36693594.545454547</v>
      </c>
      <c r="BH39" s="124">
        <v>52000000</v>
      </c>
      <c r="BI39" s="124">
        <v>51173006</v>
      </c>
      <c r="BJ39" s="60">
        <v>23679641</v>
      </c>
      <c r="BK39" s="60">
        <v>41513729</v>
      </c>
      <c r="BL39" s="124">
        <v>52000000</v>
      </c>
      <c r="BM39" s="124">
        <f>BL39*1.16</f>
        <v>60319999.999999993</v>
      </c>
      <c r="BN39" s="124">
        <v>60320000</v>
      </c>
      <c r="BO39" s="60">
        <v>48518339</v>
      </c>
      <c r="BP39" s="60">
        <f>BO39/10*12+2740186</f>
        <v>60962192.800000004</v>
      </c>
      <c r="BQ39" s="124">
        <f>BP39*1.1</f>
        <v>67058412.080000013</v>
      </c>
      <c r="BR39" s="60">
        <v>55706532</v>
      </c>
      <c r="BS39" s="60">
        <v>67136640</v>
      </c>
      <c r="BT39" s="217">
        <v>67136640</v>
      </c>
      <c r="BU39" s="678">
        <v>84000000</v>
      </c>
      <c r="BV39" s="768">
        <v>94000000</v>
      </c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s="39" customFormat="1" x14ac:dyDescent="0.25">
      <c r="A40" s="59" t="s">
        <v>226</v>
      </c>
      <c r="B40" s="447" t="s">
        <v>227</v>
      </c>
      <c r="C40" s="60">
        <v>0</v>
      </c>
      <c r="D40" s="60"/>
      <c r="E40" s="60"/>
      <c r="F40" s="61"/>
      <c r="G40" s="61">
        <v>820800</v>
      </c>
      <c r="H40" s="61">
        <v>820800</v>
      </c>
      <c r="I40" s="61">
        <v>1699445</v>
      </c>
      <c r="J40" s="60"/>
      <c r="K40" s="60"/>
      <c r="L40" s="60"/>
      <c r="M40" s="38">
        <f t="shared" si="2"/>
        <v>0</v>
      </c>
      <c r="O40" s="60"/>
      <c r="P40" s="60"/>
      <c r="Q40" s="60"/>
      <c r="R40" s="60">
        <v>0</v>
      </c>
      <c r="S40" s="60">
        <v>960413</v>
      </c>
      <c r="T40" s="60">
        <v>960413</v>
      </c>
      <c r="U40" s="60"/>
      <c r="V40" s="60">
        <f t="shared" ref="V40:W40" si="47">U40</f>
        <v>0</v>
      </c>
      <c r="W40" s="60">
        <f t="shared" si="47"/>
        <v>0</v>
      </c>
      <c r="X40" s="123"/>
      <c r="Z40" s="140">
        <f t="shared" si="4"/>
        <v>0</v>
      </c>
      <c r="AA40" s="69">
        <f t="shared" si="25"/>
        <v>0</v>
      </c>
      <c r="AB40" s="60"/>
      <c r="AC40" s="60"/>
      <c r="AD40" s="60"/>
      <c r="AE40" s="123"/>
      <c r="AF40" s="60"/>
      <c r="AG40" s="60"/>
      <c r="AH40" s="217">
        <f t="shared" si="0"/>
        <v>0</v>
      </c>
      <c r="AI40" s="217"/>
      <c r="AJ40" s="65"/>
      <c r="AK40" s="60">
        <f t="shared" si="5"/>
        <v>0</v>
      </c>
      <c r="AL40" s="60"/>
      <c r="AM40" s="348">
        <v>1200293</v>
      </c>
      <c r="AN40" s="350"/>
      <c r="AO40" s="356"/>
      <c r="AP40" s="65">
        <v>0</v>
      </c>
      <c r="AQ40" s="60">
        <v>0</v>
      </c>
      <c r="AR40" s="60">
        <f t="shared" si="42"/>
        <v>0</v>
      </c>
      <c r="AS40" s="661"/>
      <c r="AT40" s="60"/>
      <c r="AU40" s="124"/>
      <c r="AV40" s="59"/>
      <c r="AW40" s="60"/>
      <c r="AX40" s="217">
        <f t="shared" ref="AX40:AX55" si="48">AW40*1.08</f>
        <v>0</v>
      </c>
      <c r="AY40" s="124">
        <f t="shared" si="6"/>
        <v>0</v>
      </c>
      <c r="AZ40" s="124">
        <f t="shared" ref="AZ40:AZ54" si="49">AY40</f>
        <v>0</v>
      </c>
      <c r="BA40" s="124">
        <f>AZ40</f>
        <v>0</v>
      </c>
      <c r="BB40" s="60">
        <v>0</v>
      </c>
      <c r="BC40" s="60">
        <v>486208</v>
      </c>
      <c r="BD40" s="60">
        <v>486208</v>
      </c>
      <c r="BE40" s="60">
        <v>486208</v>
      </c>
      <c r="BF40" s="60">
        <v>486208</v>
      </c>
      <c r="BG40" s="124">
        <f t="shared" ref="BG40:BG55" si="50">BF40/11*12</f>
        <v>530408.72727272729</v>
      </c>
      <c r="BH40" s="124"/>
      <c r="BI40" s="124"/>
      <c r="BJ40" s="60"/>
      <c r="BK40" s="60"/>
      <c r="BL40" s="124"/>
      <c r="BM40" s="124">
        <f t="shared" ref="BM40:BM51" si="51">BL40*1.16</f>
        <v>0</v>
      </c>
      <c r="BN40" s="124"/>
      <c r="BO40" s="60"/>
      <c r="BP40" s="60">
        <f t="shared" ref="BP40:BP76" si="52">BO40/10*12</f>
        <v>0</v>
      </c>
      <c r="BQ40" s="124">
        <f t="shared" ref="BQ40:BT55" si="53">BP40*1.1</f>
        <v>0</v>
      </c>
      <c r="BR40" s="124">
        <f t="shared" si="53"/>
        <v>0</v>
      </c>
      <c r="BS40" s="124">
        <f t="shared" si="53"/>
        <v>0</v>
      </c>
      <c r="BT40" s="260">
        <f t="shared" si="53"/>
        <v>0</v>
      </c>
      <c r="BU40" s="678"/>
      <c r="BV40" s="768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s="39" customFormat="1" x14ac:dyDescent="0.25">
      <c r="A41" s="59" t="s">
        <v>31</v>
      </c>
      <c r="B41" s="447" t="s">
        <v>141</v>
      </c>
      <c r="C41" s="60">
        <v>350000</v>
      </c>
      <c r="D41" s="60">
        <v>223035</v>
      </c>
      <c r="E41" s="60">
        <v>350000</v>
      </c>
      <c r="F41" s="61">
        <f>820800+239029</f>
        <v>1059829</v>
      </c>
      <c r="G41" s="61"/>
      <c r="H41" s="61"/>
      <c r="I41" s="61">
        <v>0</v>
      </c>
      <c r="J41" s="60">
        <v>350000</v>
      </c>
      <c r="K41" s="60">
        <v>350000</v>
      </c>
      <c r="L41" s="60">
        <v>350000</v>
      </c>
      <c r="M41" s="38">
        <f t="shared" si="2"/>
        <v>0</v>
      </c>
      <c r="O41" s="60">
        <v>350000</v>
      </c>
      <c r="P41" s="60">
        <v>0</v>
      </c>
      <c r="Q41" s="60"/>
      <c r="R41" s="60">
        <v>350000</v>
      </c>
      <c r="S41" s="60"/>
      <c r="T41" s="60"/>
      <c r="U41" s="60">
        <v>350000</v>
      </c>
      <c r="V41" s="60">
        <f t="shared" ref="V41:W41" si="54">U41</f>
        <v>350000</v>
      </c>
      <c r="W41" s="60">
        <f t="shared" si="54"/>
        <v>350000</v>
      </c>
      <c r="X41" s="123">
        <f t="shared" si="22"/>
        <v>0</v>
      </c>
      <c r="Z41" s="140" t="e">
        <f t="shared" si="4"/>
        <v>#DIV/0!</v>
      </c>
      <c r="AA41" s="69">
        <f t="shared" si="25"/>
        <v>350000</v>
      </c>
      <c r="AB41" s="60">
        <v>70623</v>
      </c>
      <c r="AC41" s="60">
        <v>121068</v>
      </c>
      <c r="AD41" s="60">
        <v>121068</v>
      </c>
      <c r="AE41" s="123">
        <f>AD41/AA41*100</f>
        <v>34.590857142857146</v>
      </c>
      <c r="AF41" s="60">
        <v>350000</v>
      </c>
      <c r="AG41" s="60">
        <v>121068</v>
      </c>
      <c r="AH41" s="217">
        <f t="shared" si="0"/>
        <v>145281.59999999998</v>
      </c>
      <c r="AI41" s="217">
        <v>300000</v>
      </c>
      <c r="AJ41" s="65"/>
      <c r="AK41" s="60">
        <f t="shared" si="5"/>
        <v>300000</v>
      </c>
      <c r="AL41" s="60">
        <v>350000</v>
      </c>
      <c r="AM41" s="348">
        <v>121068</v>
      </c>
      <c r="AN41" s="350">
        <v>350000</v>
      </c>
      <c r="AO41" s="356">
        <v>10017</v>
      </c>
      <c r="AP41" s="65">
        <v>350000</v>
      </c>
      <c r="AQ41" s="60">
        <v>10017</v>
      </c>
      <c r="AR41" s="60">
        <f t="shared" si="42"/>
        <v>339983</v>
      </c>
      <c r="AS41" s="661">
        <f t="shared" si="29"/>
        <v>2.8620000000000001</v>
      </c>
      <c r="AT41" s="60">
        <v>10017</v>
      </c>
      <c r="AU41" s="124">
        <f>AP41-AT41</f>
        <v>339983</v>
      </c>
      <c r="AV41" s="59">
        <f>(AU41/AP41)*100</f>
        <v>97.138000000000005</v>
      </c>
      <c r="AW41" s="60">
        <v>350000</v>
      </c>
      <c r="AX41" s="217">
        <f t="shared" si="48"/>
        <v>378000</v>
      </c>
      <c r="AY41" s="124">
        <f t="shared" si="6"/>
        <v>378000</v>
      </c>
      <c r="AZ41" s="124">
        <v>500000</v>
      </c>
      <c r="BA41" s="124">
        <v>378000</v>
      </c>
      <c r="BB41" s="60">
        <v>500000</v>
      </c>
      <c r="BC41" s="60">
        <v>500000</v>
      </c>
      <c r="BD41" s="60">
        <v>0</v>
      </c>
      <c r="BE41" s="60">
        <v>0</v>
      </c>
      <c r="BF41" s="60"/>
      <c r="BG41" s="124">
        <f t="shared" si="50"/>
        <v>0</v>
      </c>
      <c r="BH41" s="124">
        <v>500000</v>
      </c>
      <c r="BI41" s="124">
        <v>500000</v>
      </c>
      <c r="BJ41" s="60">
        <v>466737</v>
      </c>
      <c r="BK41" s="60">
        <v>619114</v>
      </c>
      <c r="BL41" s="124">
        <v>500000</v>
      </c>
      <c r="BM41" s="124">
        <f t="shared" si="51"/>
        <v>580000</v>
      </c>
      <c r="BN41" s="124">
        <v>580000</v>
      </c>
      <c r="BO41" s="60">
        <v>786544</v>
      </c>
      <c r="BP41" s="60">
        <f t="shared" si="52"/>
        <v>943852.79999999993</v>
      </c>
      <c r="BQ41" s="124">
        <f t="shared" si="53"/>
        <v>1038238.08</v>
      </c>
      <c r="BR41" s="124">
        <v>1100000</v>
      </c>
      <c r="BS41" s="124">
        <v>1100000</v>
      </c>
      <c r="BT41" s="260">
        <v>1100000</v>
      </c>
      <c r="BU41" s="678">
        <v>1200000</v>
      </c>
      <c r="BV41" s="768">
        <v>500000</v>
      </c>
      <c r="BW41" t="s">
        <v>797</v>
      </c>
      <c r="BX41" t="s">
        <v>800</v>
      </c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s="39" customFormat="1" x14ac:dyDescent="0.25">
      <c r="A42" s="59" t="s">
        <v>32</v>
      </c>
      <c r="B42" s="62" t="s">
        <v>198</v>
      </c>
      <c r="C42" s="60">
        <v>0</v>
      </c>
      <c r="D42" s="60">
        <v>0</v>
      </c>
      <c r="E42" s="60">
        <v>0</v>
      </c>
      <c r="F42" s="61"/>
      <c r="G42" s="61"/>
      <c r="H42" s="61"/>
      <c r="I42" s="61">
        <v>0</v>
      </c>
      <c r="J42" s="60"/>
      <c r="K42" s="60"/>
      <c r="L42" s="60"/>
      <c r="M42" s="38">
        <f t="shared" si="2"/>
        <v>0</v>
      </c>
      <c r="O42" s="60"/>
      <c r="P42" s="60"/>
      <c r="Q42" s="60"/>
      <c r="R42" s="60">
        <v>0</v>
      </c>
      <c r="S42" s="60"/>
      <c r="T42" s="60"/>
      <c r="U42" s="60"/>
      <c r="V42" s="60">
        <f t="shared" ref="V42:W42" si="55">U42</f>
        <v>0</v>
      </c>
      <c r="W42" s="60">
        <f t="shared" si="55"/>
        <v>0</v>
      </c>
      <c r="X42" s="123"/>
      <c r="Z42" s="140" t="e">
        <f t="shared" si="4"/>
        <v>#DIV/0!</v>
      </c>
      <c r="AA42" s="69">
        <f t="shared" si="25"/>
        <v>0</v>
      </c>
      <c r="AB42" s="60"/>
      <c r="AC42" s="60"/>
      <c r="AD42" s="60"/>
      <c r="AE42" s="123"/>
      <c r="AF42" s="60"/>
      <c r="AG42" s="60"/>
      <c r="AH42" s="217">
        <f t="shared" si="0"/>
        <v>0</v>
      </c>
      <c r="AI42" s="217"/>
      <c r="AJ42" s="65"/>
      <c r="AK42" s="60">
        <f t="shared" si="5"/>
        <v>0</v>
      </c>
      <c r="AL42" s="60"/>
      <c r="AM42" s="348"/>
      <c r="AN42" s="350"/>
      <c r="AO42" s="356"/>
      <c r="AP42" s="65">
        <v>0</v>
      </c>
      <c r="AQ42" s="60">
        <v>0</v>
      </c>
      <c r="AR42" s="60">
        <f t="shared" si="42"/>
        <v>0</v>
      </c>
      <c r="AS42" s="661"/>
      <c r="AT42" s="60"/>
      <c r="AU42" s="124"/>
      <c r="AV42" s="59"/>
      <c r="AW42" s="60"/>
      <c r="AX42" s="217">
        <f t="shared" si="48"/>
        <v>0</v>
      </c>
      <c r="AY42" s="124">
        <f t="shared" si="6"/>
        <v>0</v>
      </c>
      <c r="AZ42" s="124">
        <f t="shared" si="49"/>
        <v>0</v>
      </c>
      <c r="BA42" s="124"/>
      <c r="BB42" s="60"/>
      <c r="BC42" s="60"/>
      <c r="BD42" s="60"/>
      <c r="BE42" s="60"/>
      <c r="BF42" s="60"/>
      <c r="BG42" s="124">
        <f t="shared" si="50"/>
        <v>0</v>
      </c>
      <c r="BH42" s="124"/>
      <c r="BI42" s="124"/>
      <c r="BJ42" s="60"/>
      <c r="BK42" s="60"/>
      <c r="BL42" s="124"/>
      <c r="BM42" s="124">
        <f t="shared" si="51"/>
        <v>0</v>
      </c>
      <c r="BN42" s="124"/>
      <c r="BO42" s="60"/>
      <c r="BP42" s="60">
        <f t="shared" si="52"/>
        <v>0</v>
      </c>
      <c r="BQ42" s="124">
        <f t="shared" si="53"/>
        <v>0</v>
      </c>
      <c r="BR42" s="124">
        <f t="shared" si="53"/>
        <v>0</v>
      </c>
      <c r="BS42" s="124">
        <f t="shared" si="53"/>
        <v>0</v>
      </c>
      <c r="BT42" s="260">
        <f t="shared" si="53"/>
        <v>0</v>
      </c>
      <c r="BU42" s="678"/>
      <c r="BV42" s="768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s="39" customFormat="1" x14ac:dyDescent="0.25">
      <c r="A43" s="59" t="s">
        <v>33</v>
      </c>
      <c r="B43" s="447" t="s">
        <v>142</v>
      </c>
      <c r="C43" s="60">
        <v>0</v>
      </c>
      <c r="D43" s="60">
        <v>0</v>
      </c>
      <c r="E43" s="60">
        <v>0</v>
      </c>
      <c r="F43" s="61"/>
      <c r="G43" s="61"/>
      <c r="H43" s="61"/>
      <c r="I43" s="61">
        <v>0</v>
      </c>
      <c r="J43" s="60"/>
      <c r="K43" s="60"/>
      <c r="L43" s="60"/>
      <c r="M43" s="38">
        <f t="shared" si="2"/>
        <v>0</v>
      </c>
      <c r="O43" s="60"/>
      <c r="P43" s="60"/>
      <c r="Q43" s="60"/>
      <c r="R43" s="60">
        <v>0</v>
      </c>
      <c r="S43" s="60"/>
      <c r="T43" s="60"/>
      <c r="U43" s="60"/>
      <c r="V43" s="60">
        <f t="shared" ref="V43:W43" si="56">U43</f>
        <v>0</v>
      </c>
      <c r="W43" s="60">
        <f t="shared" si="56"/>
        <v>0</v>
      </c>
      <c r="X43" s="123"/>
      <c r="Z43" s="140" t="e">
        <f t="shared" si="4"/>
        <v>#DIV/0!</v>
      </c>
      <c r="AA43" s="69">
        <f t="shared" si="25"/>
        <v>0</v>
      </c>
      <c r="AB43" s="60"/>
      <c r="AC43" s="60"/>
      <c r="AD43" s="60"/>
      <c r="AE43" s="123"/>
      <c r="AF43" s="60"/>
      <c r="AG43" s="60"/>
      <c r="AH43" s="217">
        <f t="shared" si="0"/>
        <v>0</v>
      </c>
      <c r="AI43" s="217"/>
      <c r="AJ43" s="65"/>
      <c r="AK43" s="60">
        <f t="shared" si="5"/>
        <v>0</v>
      </c>
      <c r="AL43" s="60"/>
      <c r="AM43" s="348"/>
      <c r="AN43" s="350"/>
      <c r="AO43" s="356"/>
      <c r="AP43" s="65">
        <v>0</v>
      </c>
      <c r="AQ43" s="60">
        <v>0</v>
      </c>
      <c r="AR43" s="60">
        <f t="shared" si="42"/>
        <v>0</v>
      </c>
      <c r="AS43" s="661"/>
      <c r="AT43" s="60"/>
      <c r="AU43" s="124"/>
      <c r="AV43" s="59"/>
      <c r="AW43" s="60"/>
      <c r="AX43" s="217">
        <f t="shared" si="48"/>
        <v>0</v>
      </c>
      <c r="AY43" s="124">
        <f t="shared" si="6"/>
        <v>0</v>
      </c>
      <c r="AZ43" s="124">
        <f t="shared" si="49"/>
        <v>0</v>
      </c>
      <c r="BA43" s="124"/>
      <c r="BB43" s="60"/>
      <c r="BC43" s="60"/>
      <c r="BD43" s="60"/>
      <c r="BE43" s="60"/>
      <c r="BF43" s="60"/>
      <c r="BG43" s="124">
        <f t="shared" si="50"/>
        <v>0</v>
      </c>
      <c r="BH43" s="124"/>
      <c r="BI43" s="124"/>
      <c r="BJ43" s="60"/>
      <c r="BK43" s="60"/>
      <c r="BL43" s="124"/>
      <c r="BM43" s="124">
        <f t="shared" si="51"/>
        <v>0</v>
      </c>
      <c r="BN43" s="124"/>
      <c r="BO43" s="60"/>
      <c r="BP43" s="60">
        <f t="shared" si="52"/>
        <v>0</v>
      </c>
      <c r="BQ43" s="124">
        <f t="shared" si="53"/>
        <v>0</v>
      </c>
      <c r="BR43" s="124">
        <f t="shared" si="53"/>
        <v>0</v>
      </c>
      <c r="BS43" s="124">
        <f t="shared" si="53"/>
        <v>0</v>
      </c>
      <c r="BT43" s="260">
        <f t="shared" si="53"/>
        <v>0</v>
      </c>
      <c r="BU43" s="678">
        <v>5000000</v>
      </c>
      <c r="BV43" s="768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s="39" customFormat="1" x14ac:dyDescent="0.25">
      <c r="A44" s="59" t="s">
        <v>34</v>
      </c>
      <c r="B44" s="447" t="s">
        <v>143</v>
      </c>
      <c r="C44" s="60">
        <v>1252764</v>
      </c>
      <c r="D44" s="60">
        <v>1029687</v>
      </c>
      <c r="E44" s="60">
        <v>1252764</v>
      </c>
      <c r="F44" s="61">
        <v>1235197</v>
      </c>
      <c r="G44" s="61">
        <v>1295764</v>
      </c>
      <c r="H44" s="61">
        <v>1295397</v>
      </c>
      <c r="I44" s="61">
        <v>1355597</v>
      </c>
      <c r="J44" s="60">
        <v>1252764</v>
      </c>
      <c r="K44" s="60">
        <v>1252764</v>
      </c>
      <c r="L44" s="60">
        <v>1252764</v>
      </c>
      <c r="M44" s="38">
        <f t="shared" si="2"/>
        <v>92.414190943178539</v>
      </c>
      <c r="O44" s="60">
        <v>1252764</v>
      </c>
      <c r="P44" s="60">
        <v>1093800</v>
      </c>
      <c r="Q44" s="60">
        <v>1154000</v>
      </c>
      <c r="R44" s="60">
        <v>1252764</v>
      </c>
      <c r="S44" s="60">
        <v>1274400</v>
      </c>
      <c r="T44" s="60">
        <v>1274400</v>
      </c>
      <c r="U44" s="60">
        <f>149009*8+149009/2</f>
        <v>1266576.5</v>
      </c>
      <c r="V44" s="60">
        <f t="shared" ref="V44:W44" si="57">U44</f>
        <v>1266576.5</v>
      </c>
      <c r="W44" s="60">
        <f t="shared" si="57"/>
        <v>1266576.5</v>
      </c>
      <c r="X44" s="123">
        <f t="shared" si="22"/>
        <v>100.61768870652503</v>
      </c>
      <c r="Z44" s="140">
        <f t="shared" si="4"/>
        <v>0.99386103264281234</v>
      </c>
      <c r="AA44" s="69">
        <f t="shared" si="25"/>
        <v>1266576.5</v>
      </c>
      <c r="AB44" s="60">
        <v>1174300</v>
      </c>
      <c r="AC44" s="60">
        <v>1174300</v>
      </c>
      <c r="AD44" s="60">
        <v>1174300</v>
      </c>
      <c r="AE44" s="123">
        <f>AD44/AA44*100</f>
        <v>92.714494544940635</v>
      </c>
      <c r="AF44" s="60">
        <v>1266577</v>
      </c>
      <c r="AG44" s="60">
        <v>1174300</v>
      </c>
      <c r="AH44" s="217">
        <f t="shared" si="0"/>
        <v>1409160</v>
      </c>
      <c r="AI44" s="217">
        <v>1500000</v>
      </c>
      <c r="AJ44" s="65">
        <v>150000</v>
      </c>
      <c r="AK44" s="60">
        <f t="shared" si="5"/>
        <v>1650000</v>
      </c>
      <c r="AL44" s="60">
        <v>1650000</v>
      </c>
      <c r="AM44" s="348">
        <v>1174300</v>
      </c>
      <c r="AN44" s="350">
        <v>1650000</v>
      </c>
      <c r="AO44" s="356">
        <v>1279630</v>
      </c>
      <c r="AP44" s="65">
        <v>1650000</v>
      </c>
      <c r="AQ44" s="60">
        <v>1509340</v>
      </c>
      <c r="AR44" s="60">
        <f>AP44-AQ44</f>
        <v>140660</v>
      </c>
      <c r="AS44" s="661">
        <f t="shared" si="29"/>
        <v>91.475151515151524</v>
      </c>
      <c r="AT44" s="60">
        <v>1509340</v>
      </c>
      <c r="AU44" s="124">
        <f>AP44-AT44</f>
        <v>140660</v>
      </c>
      <c r="AV44" s="59">
        <f>(AU44/AP44)*100</f>
        <v>8.5248484848484853</v>
      </c>
      <c r="AW44" s="60">
        <v>1650000</v>
      </c>
      <c r="AX44" s="217">
        <f t="shared" si="48"/>
        <v>1782000.0000000002</v>
      </c>
      <c r="AY44" s="124">
        <f t="shared" si="6"/>
        <v>1782000.0000000002</v>
      </c>
      <c r="AZ44" s="124">
        <v>102000</v>
      </c>
      <c r="BA44" s="124">
        <v>1782000</v>
      </c>
      <c r="BB44" s="60">
        <v>102000</v>
      </c>
      <c r="BC44" s="60">
        <v>1928086</v>
      </c>
      <c r="BD44" s="60">
        <v>1826086</v>
      </c>
      <c r="BE44" s="60">
        <v>1826086</v>
      </c>
      <c r="BF44" s="60">
        <v>1826086</v>
      </c>
      <c r="BG44" s="124">
        <f t="shared" si="50"/>
        <v>1992093.8181818181</v>
      </c>
      <c r="BH44" s="124">
        <v>2200000</v>
      </c>
      <c r="BI44" s="124">
        <v>2200000</v>
      </c>
      <c r="BJ44" s="60">
        <v>1614580</v>
      </c>
      <c r="BK44" s="60">
        <v>1614580</v>
      </c>
      <c r="BL44" s="124">
        <v>2200000</v>
      </c>
      <c r="BM44" s="124">
        <f t="shared" si="51"/>
        <v>2552000</v>
      </c>
      <c r="BN44" s="124">
        <v>2552000</v>
      </c>
      <c r="BO44" s="60">
        <v>1640625</v>
      </c>
      <c r="BP44" s="60">
        <f t="shared" si="52"/>
        <v>1968750</v>
      </c>
      <c r="BQ44" s="124">
        <f t="shared" si="53"/>
        <v>2165625</v>
      </c>
      <c r="BR44" s="124">
        <v>2000000</v>
      </c>
      <c r="BS44" s="124">
        <v>2000000</v>
      </c>
      <c r="BT44" s="260">
        <v>2000000</v>
      </c>
      <c r="BU44" s="678">
        <v>2600000</v>
      </c>
      <c r="BV44" s="768">
        <v>2600000</v>
      </c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s="39" customFormat="1" x14ac:dyDescent="0.25">
      <c r="A45" s="59" t="s">
        <v>35</v>
      </c>
      <c r="B45" s="447" t="s">
        <v>144</v>
      </c>
      <c r="C45" s="60">
        <v>222000</v>
      </c>
      <c r="D45" s="60">
        <v>17765</v>
      </c>
      <c r="E45" s="60">
        <v>0</v>
      </c>
      <c r="F45" s="61">
        <v>83410</v>
      </c>
      <c r="G45" s="61">
        <v>87805</v>
      </c>
      <c r="H45" s="61">
        <v>83410</v>
      </c>
      <c r="I45" s="61">
        <v>99540</v>
      </c>
      <c r="J45" s="60">
        <v>312000</v>
      </c>
      <c r="K45" s="60">
        <v>222000</v>
      </c>
      <c r="L45" s="60">
        <v>222000</v>
      </c>
      <c r="M45" s="38">
        <f t="shared" si="2"/>
        <v>223.02591922845085</v>
      </c>
      <c r="O45" s="60">
        <v>222000</v>
      </c>
      <c r="P45" s="60">
        <v>75590</v>
      </c>
      <c r="Q45" s="60">
        <v>75590</v>
      </c>
      <c r="R45" s="60">
        <v>222000</v>
      </c>
      <c r="S45" s="60">
        <v>85670</v>
      </c>
      <c r="T45" s="60">
        <v>85670</v>
      </c>
      <c r="U45" s="60">
        <f>222000-84000</f>
        <v>138000</v>
      </c>
      <c r="V45" s="60">
        <f t="shared" ref="V45:W45" si="58">U45</f>
        <v>138000</v>
      </c>
      <c r="W45" s="60">
        <f t="shared" si="58"/>
        <v>138000</v>
      </c>
      <c r="X45" s="123">
        <f t="shared" si="22"/>
        <v>62.079710144927539</v>
      </c>
      <c r="Z45" s="140">
        <f t="shared" si="4"/>
        <v>1.610832263336057</v>
      </c>
      <c r="AA45" s="69">
        <f t="shared" si="25"/>
        <v>138000</v>
      </c>
      <c r="AB45" s="60">
        <v>48390</v>
      </c>
      <c r="AC45" s="60">
        <v>48390</v>
      </c>
      <c r="AD45" s="60">
        <v>48390</v>
      </c>
      <c r="AE45" s="123">
        <f t="shared" ref="AE45:AE50" si="59">AC45/AA45*100</f>
        <v>35.065217391304351</v>
      </c>
      <c r="AF45" s="60">
        <v>138000</v>
      </c>
      <c r="AG45" s="60">
        <v>78125</v>
      </c>
      <c r="AH45" s="217">
        <f t="shared" si="0"/>
        <v>93750</v>
      </c>
      <c r="AI45" s="217">
        <v>138000</v>
      </c>
      <c r="AJ45" s="65"/>
      <c r="AK45" s="60">
        <f t="shared" si="5"/>
        <v>138000</v>
      </c>
      <c r="AL45" s="60">
        <v>222000</v>
      </c>
      <c r="AM45" s="348">
        <v>78125</v>
      </c>
      <c r="AN45" s="350">
        <v>222000</v>
      </c>
      <c r="AO45" s="356">
        <v>14150</v>
      </c>
      <c r="AP45" s="65">
        <v>222000</v>
      </c>
      <c r="AQ45" s="60">
        <v>14150</v>
      </c>
      <c r="AR45" s="60">
        <f t="shared" ref="AR45:AR101" si="60">AP45-AQ45</f>
        <v>207850</v>
      </c>
      <c r="AS45" s="661">
        <f t="shared" si="29"/>
        <v>6.3738738738738743</v>
      </c>
      <c r="AT45" s="60">
        <v>50440</v>
      </c>
      <c r="AU45" s="124">
        <f>AP45-AT45</f>
        <v>171560</v>
      </c>
      <c r="AV45" s="59">
        <f>(AU45/AP45)*100</f>
        <v>77.27927927927928</v>
      </c>
      <c r="AW45" s="60">
        <v>222000</v>
      </c>
      <c r="AX45" s="217">
        <f t="shared" si="48"/>
        <v>239760.00000000003</v>
      </c>
      <c r="AY45" s="124">
        <f t="shared" si="6"/>
        <v>239760.00000000003</v>
      </c>
      <c r="AZ45" s="124">
        <v>120000</v>
      </c>
      <c r="BA45" s="124">
        <v>239760</v>
      </c>
      <c r="BB45" s="60">
        <v>120000</v>
      </c>
      <c r="BC45" s="60">
        <v>120000</v>
      </c>
      <c r="BD45" s="60">
        <v>39290</v>
      </c>
      <c r="BE45" s="60">
        <v>39290</v>
      </c>
      <c r="BF45" s="60">
        <v>73060</v>
      </c>
      <c r="BG45" s="124">
        <f t="shared" si="50"/>
        <v>79701.818181818177</v>
      </c>
      <c r="BH45" s="124">
        <v>80000</v>
      </c>
      <c r="BI45" s="124">
        <v>80000</v>
      </c>
      <c r="BJ45" s="60">
        <v>49055</v>
      </c>
      <c r="BK45" s="60">
        <v>96915</v>
      </c>
      <c r="BL45" s="124">
        <v>80000</v>
      </c>
      <c r="BM45" s="124">
        <f t="shared" si="51"/>
        <v>92800</v>
      </c>
      <c r="BN45" s="124">
        <v>92800</v>
      </c>
      <c r="BO45" s="60">
        <v>104306</v>
      </c>
      <c r="BP45" s="60">
        <f t="shared" si="52"/>
        <v>125167.20000000001</v>
      </c>
      <c r="BQ45" s="124">
        <f t="shared" si="53"/>
        <v>137683.92000000001</v>
      </c>
      <c r="BR45" s="124">
        <v>140000</v>
      </c>
      <c r="BS45" s="124">
        <v>140000</v>
      </c>
      <c r="BT45" s="260">
        <v>140000</v>
      </c>
      <c r="BU45" s="678">
        <v>400000</v>
      </c>
      <c r="BV45" s="768">
        <v>450000</v>
      </c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s="39" customFormat="1" x14ac:dyDescent="0.25">
      <c r="A46" s="59" t="s">
        <v>36</v>
      </c>
      <c r="B46" s="447" t="s">
        <v>145</v>
      </c>
      <c r="C46" s="60">
        <v>0</v>
      </c>
      <c r="D46" s="60">
        <v>25000</v>
      </c>
      <c r="E46" s="60">
        <v>0</v>
      </c>
      <c r="F46" s="61">
        <v>36000</v>
      </c>
      <c r="G46" s="61">
        <v>36000</v>
      </c>
      <c r="H46" s="61">
        <v>36000</v>
      </c>
      <c r="I46" s="61">
        <v>76000</v>
      </c>
      <c r="J46" s="60">
        <v>36000</v>
      </c>
      <c r="K46" s="60"/>
      <c r="L46" s="60"/>
      <c r="M46" s="38">
        <f t="shared" si="2"/>
        <v>0</v>
      </c>
      <c r="O46" s="60">
        <v>100000</v>
      </c>
      <c r="P46" s="60">
        <v>42000</v>
      </c>
      <c r="Q46" s="60">
        <v>42000</v>
      </c>
      <c r="R46" s="60">
        <v>0</v>
      </c>
      <c r="S46" s="60">
        <v>84000</v>
      </c>
      <c r="T46" s="60">
        <v>84000</v>
      </c>
      <c r="U46" s="60">
        <v>84000</v>
      </c>
      <c r="V46" s="60">
        <f t="shared" ref="V46:W46" si="61">U46</f>
        <v>84000</v>
      </c>
      <c r="W46" s="60">
        <f t="shared" si="61"/>
        <v>84000</v>
      </c>
      <c r="X46" s="123">
        <f t="shared" si="22"/>
        <v>100</v>
      </c>
      <c r="Z46" s="140">
        <f t="shared" si="4"/>
        <v>1</v>
      </c>
      <c r="AA46" s="69">
        <f t="shared" si="25"/>
        <v>84000</v>
      </c>
      <c r="AB46" s="60">
        <v>0</v>
      </c>
      <c r="AC46" s="60">
        <v>42000</v>
      </c>
      <c r="AD46" s="60">
        <v>42000</v>
      </c>
      <c r="AE46" s="123">
        <f>AD46/AA46*100</f>
        <v>50</v>
      </c>
      <c r="AF46" s="60">
        <v>84000</v>
      </c>
      <c r="AG46" s="60">
        <v>42000</v>
      </c>
      <c r="AH46" s="217">
        <f t="shared" si="0"/>
        <v>50400</v>
      </c>
      <c r="AI46" s="217">
        <v>60000</v>
      </c>
      <c r="AJ46" s="65"/>
      <c r="AK46" s="60">
        <f t="shared" si="5"/>
        <v>60000</v>
      </c>
      <c r="AL46" s="60">
        <f t="shared" si="5"/>
        <v>60000</v>
      </c>
      <c r="AM46" s="348">
        <v>91000</v>
      </c>
      <c r="AN46" s="350">
        <v>60000</v>
      </c>
      <c r="AO46" s="356"/>
      <c r="AP46" s="65">
        <v>60000</v>
      </c>
      <c r="AQ46" s="60">
        <v>36000</v>
      </c>
      <c r="AR46" s="60">
        <f t="shared" si="60"/>
        <v>24000</v>
      </c>
      <c r="AS46" s="661">
        <f t="shared" si="29"/>
        <v>60</v>
      </c>
      <c r="AT46" s="60">
        <v>36000</v>
      </c>
      <c r="AU46" s="124">
        <f>AP46-AT46</f>
        <v>24000</v>
      </c>
      <c r="AV46" s="59">
        <f>(AU46/AP46)*100</f>
        <v>40</v>
      </c>
      <c r="AW46" s="60">
        <v>60000</v>
      </c>
      <c r="AX46" s="217">
        <f t="shared" si="48"/>
        <v>64800.000000000007</v>
      </c>
      <c r="AY46" s="124">
        <f t="shared" si="6"/>
        <v>64800.000000000007</v>
      </c>
      <c r="AZ46" s="124">
        <v>0</v>
      </c>
      <c r="BA46" s="124">
        <v>64800</v>
      </c>
      <c r="BB46" s="60">
        <v>0</v>
      </c>
      <c r="BC46" s="60">
        <v>60000</v>
      </c>
      <c r="BD46" s="60">
        <v>60000</v>
      </c>
      <c r="BE46" s="60">
        <v>60000</v>
      </c>
      <c r="BF46" s="60">
        <v>60000</v>
      </c>
      <c r="BG46" s="124">
        <f t="shared" si="50"/>
        <v>65454.545454545456</v>
      </c>
      <c r="BH46" s="124">
        <v>60000</v>
      </c>
      <c r="BI46" s="124">
        <v>60000</v>
      </c>
      <c r="BJ46" s="60">
        <v>0</v>
      </c>
      <c r="BK46" s="60">
        <v>54000</v>
      </c>
      <c r="BL46" s="124">
        <v>60000</v>
      </c>
      <c r="BM46" s="124">
        <f t="shared" si="51"/>
        <v>69600</v>
      </c>
      <c r="BN46" s="124">
        <v>69600</v>
      </c>
      <c r="BO46" s="60">
        <v>0</v>
      </c>
      <c r="BP46" s="60">
        <f t="shared" si="52"/>
        <v>0</v>
      </c>
      <c r="BQ46" s="124">
        <f t="shared" si="53"/>
        <v>0</v>
      </c>
      <c r="BR46" s="124">
        <f t="shared" si="53"/>
        <v>0</v>
      </c>
      <c r="BS46" s="124">
        <f t="shared" si="53"/>
        <v>0</v>
      </c>
      <c r="BT46" s="260">
        <f t="shared" si="53"/>
        <v>0</v>
      </c>
      <c r="BU46" s="678"/>
      <c r="BV46" s="768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s="39" customFormat="1" x14ac:dyDescent="0.25">
      <c r="A47" s="59" t="s">
        <v>493</v>
      </c>
      <c r="B47" s="447" t="s">
        <v>489</v>
      </c>
      <c r="C47" s="60"/>
      <c r="D47" s="60"/>
      <c r="E47" s="60"/>
      <c r="F47" s="61"/>
      <c r="G47" s="61"/>
      <c r="H47" s="61"/>
      <c r="I47" s="61"/>
      <c r="J47" s="60"/>
      <c r="K47" s="60"/>
      <c r="L47" s="60"/>
      <c r="M47" s="38"/>
      <c r="O47" s="60"/>
      <c r="P47" s="60"/>
      <c r="Q47" s="60"/>
      <c r="R47" s="60"/>
      <c r="S47" s="60"/>
      <c r="T47" s="60"/>
      <c r="U47" s="60"/>
      <c r="V47" s="60"/>
      <c r="W47" s="60"/>
      <c r="X47" s="123"/>
      <c r="Z47" s="140"/>
      <c r="AA47" s="69"/>
      <c r="AB47" s="60"/>
      <c r="AC47" s="60"/>
      <c r="AD47" s="60"/>
      <c r="AE47" s="123"/>
      <c r="AF47" s="60">
        <v>40000</v>
      </c>
      <c r="AG47" s="60"/>
      <c r="AH47" s="217">
        <f t="shared" si="0"/>
        <v>0</v>
      </c>
      <c r="AI47" s="217">
        <v>0</v>
      </c>
      <c r="AJ47" s="65"/>
      <c r="AK47" s="60">
        <f t="shared" si="5"/>
        <v>0</v>
      </c>
      <c r="AL47" s="60"/>
      <c r="AM47" s="348"/>
      <c r="AN47" s="350"/>
      <c r="AO47" s="356"/>
      <c r="AP47" s="65">
        <v>0</v>
      </c>
      <c r="AQ47" s="60">
        <v>0</v>
      </c>
      <c r="AR47" s="60">
        <f t="shared" si="60"/>
        <v>0</v>
      </c>
      <c r="AS47" s="661"/>
      <c r="AT47" s="60"/>
      <c r="AU47" s="124"/>
      <c r="AV47" s="59"/>
      <c r="AW47" s="60"/>
      <c r="AX47" s="217">
        <f t="shared" si="48"/>
        <v>0</v>
      </c>
      <c r="AY47" s="124">
        <f t="shared" si="6"/>
        <v>0</v>
      </c>
      <c r="AZ47" s="124">
        <f t="shared" si="49"/>
        <v>0</v>
      </c>
      <c r="BA47" s="124"/>
      <c r="BB47" s="60"/>
      <c r="BC47" s="60"/>
      <c r="BD47" s="60"/>
      <c r="BE47" s="60"/>
      <c r="BF47" s="60"/>
      <c r="BG47" s="124">
        <f t="shared" si="50"/>
        <v>0</v>
      </c>
      <c r="BH47" s="124"/>
      <c r="BI47" s="124"/>
      <c r="BJ47" s="60"/>
      <c r="BK47" s="60"/>
      <c r="BL47" s="124"/>
      <c r="BM47" s="124">
        <f t="shared" si="51"/>
        <v>0</v>
      </c>
      <c r="BN47" s="124"/>
      <c r="BO47" s="60"/>
      <c r="BP47" s="60">
        <f t="shared" si="52"/>
        <v>0</v>
      </c>
      <c r="BQ47" s="124">
        <f t="shared" si="53"/>
        <v>0</v>
      </c>
      <c r="BR47" s="124">
        <f t="shared" si="53"/>
        <v>0</v>
      </c>
      <c r="BS47" s="124">
        <f t="shared" si="53"/>
        <v>0</v>
      </c>
      <c r="BT47" s="260">
        <f t="shared" si="53"/>
        <v>0</v>
      </c>
      <c r="BU47" s="678"/>
      <c r="BV47" s="768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s="39" customFormat="1" x14ac:dyDescent="0.25">
      <c r="A48" s="59" t="s">
        <v>228</v>
      </c>
      <c r="B48" s="447" t="s">
        <v>229</v>
      </c>
      <c r="C48" s="60">
        <v>0</v>
      </c>
      <c r="D48" s="60"/>
      <c r="E48" s="60"/>
      <c r="F48" s="61"/>
      <c r="G48" s="61">
        <v>283398</v>
      </c>
      <c r="H48" s="61">
        <v>239029</v>
      </c>
      <c r="I48" s="61">
        <v>505145</v>
      </c>
      <c r="J48" s="60"/>
      <c r="K48" s="60"/>
      <c r="L48" s="60"/>
      <c r="M48" s="38">
        <f t="shared" si="2"/>
        <v>0</v>
      </c>
      <c r="O48" s="60"/>
      <c r="P48" s="60"/>
      <c r="Q48" s="60"/>
      <c r="R48" s="60">
        <v>0</v>
      </c>
      <c r="S48" s="60"/>
      <c r="T48" s="60"/>
      <c r="U48" s="60"/>
      <c r="V48" s="60">
        <f t="shared" ref="V48:W48" si="62">U48</f>
        <v>0</v>
      </c>
      <c r="W48" s="60">
        <f t="shared" si="62"/>
        <v>0</v>
      </c>
      <c r="X48" s="123"/>
      <c r="Z48" s="140" t="e">
        <f t="shared" si="4"/>
        <v>#DIV/0!</v>
      </c>
      <c r="AA48" s="69">
        <f t="shared" si="25"/>
        <v>0</v>
      </c>
      <c r="AB48" s="60">
        <v>30754</v>
      </c>
      <c r="AC48" s="60">
        <v>30754</v>
      </c>
      <c r="AD48" s="60">
        <v>30754</v>
      </c>
      <c r="AE48" s="123"/>
      <c r="AF48" s="60">
        <v>80000</v>
      </c>
      <c r="AG48" s="60">
        <v>30754</v>
      </c>
      <c r="AH48" s="217">
        <f t="shared" si="0"/>
        <v>36904.800000000003</v>
      </c>
      <c r="AI48" s="217"/>
      <c r="AJ48" s="65"/>
      <c r="AK48" s="60">
        <f t="shared" si="5"/>
        <v>0</v>
      </c>
      <c r="AL48" s="60"/>
      <c r="AM48" s="348">
        <v>30754</v>
      </c>
      <c r="AN48" s="350">
        <v>250000</v>
      </c>
      <c r="AO48" s="356">
        <v>140632</v>
      </c>
      <c r="AP48" s="65">
        <v>250000</v>
      </c>
      <c r="AQ48" s="60">
        <v>163286</v>
      </c>
      <c r="AR48" s="60">
        <f t="shared" si="60"/>
        <v>86714</v>
      </c>
      <c r="AS48" s="661">
        <f t="shared" si="29"/>
        <v>65.314399999999992</v>
      </c>
      <c r="AT48" s="60">
        <v>163286</v>
      </c>
      <c r="AU48" s="124">
        <f>AP48-AT48</f>
        <v>86714</v>
      </c>
      <c r="AV48" s="59">
        <f>(AU48/AP48)*100</f>
        <v>34.685600000000001</v>
      </c>
      <c r="AW48" s="60"/>
      <c r="AX48" s="217">
        <f t="shared" si="48"/>
        <v>0</v>
      </c>
      <c r="AY48" s="124">
        <f t="shared" si="6"/>
        <v>0</v>
      </c>
      <c r="AZ48" s="124">
        <f t="shared" si="49"/>
        <v>0</v>
      </c>
      <c r="BA48" s="124"/>
      <c r="BB48" s="60">
        <v>0</v>
      </c>
      <c r="BC48" s="60">
        <v>209586</v>
      </c>
      <c r="BD48" s="60">
        <v>209586</v>
      </c>
      <c r="BE48" s="60">
        <v>209586</v>
      </c>
      <c r="BF48" s="60">
        <v>290619</v>
      </c>
      <c r="BG48" s="124">
        <f t="shared" si="50"/>
        <v>317038.90909090912</v>
      </c>
      <c r="BH48" s="124"/>
      <c r="BI48" s="124">
        <v>826994</v>
      </c>
      <c r="BJ48" s="60">
        <v>826994</v>
      </c>
      <c r="BK48" s="60">
        <v>911429</v>
      </c>
      <c r="BL48" s="124">
        <v>1000000</v>
      </c>
      <c r="BM48" s="124">
        <f t="shared" si="51"/>
        <v>1160000</v>
      </c>
      <c r="BN48" s="124">
        <v>1160000</v>
      </c>
      <c r="BO48" s="60">
        <v>1026933</v>
      </c>
      <c r="BP48" s="60">
        <f t="shared" si="52"/>
        <v>1232319.6000000001</v>
      </c>
      <c r="BQ48" s="124">
        <f t="shared" si="53"/>
        <v>1355551.5600000003</v>
      </c>
      <c r="BR48" s="124">
        <v>1355552</v>
      </c>
      <c r="BS48" s="124">
        <v>1355553</v>
      </c>
      <c r="BT48" s="260">
        <v>1355553</v>
      </c>
      <c r="BU48" s="678">
        <v>1000000</v>
      </c>
      <c r="BV48" s="768">
        <v>1500000</v>
      </c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s="39" customFormat="1" x14ac:dyDescent="0.25">
      <c r="A49" s="59" t="s">
        <v>255</v>
      </c>
      <c r="B49" s="447" t="s">
        <v>256</v>
      </c>
      <c r="C49" s="60"/>
      <c r="D49" s="60"/>
      <c r="E49" s="60"/>
      <c r="F49" s="61"/>
      <c r="G49" s="61"/>
      <c r="H49" s="61"/>
      <c r="I49" s="61">
        <v>0</v>
      </c>
      <c r="J49" s="60"/>
      <c r="K49" s="60"/>
      <c r="L49" s="60"/>
      <c r="M49" s="38">
        <f t="shared" si="2"/>
        <v>0</v>
      </c>
      <c r="O49" s="60"/>
      <c r="P49" s="60"/>
      <c r="Q49" s="60"/>
      <c r="R49" s="60">
        <v>0</v>
      </c>
      <c r="S49" s="60"/>
      <c r="T49" s="60"/>
      <c r="U49" s="60"/>
      <c r="V49" s="60">
        <f t="shared" ref="V49:W49" si="63">U49</f>
        <v>0</v>
      </c>
      <c r="W49" s="60">
        <f t="shared" si="63"/>
        <v>0</v>
      </c>
      <c r="X49" s="123"/>
      <c r="Z49" s="140" t="e">
        <f t="shared" si="4"/>
        <v>#DIV/0!</v>
      </c>
      <c r="AA49" s="69">
        <f t="shared" si="25"/>
        <v>0</v>
      </c>
      <c r="AB49" s="60"/>
      <c r="AC49" s="60"/>
      <c r="AD49" s="60"/>
      <c r="AE49" s="123"/>
      <c r="AF49" s="60"/>
      <c r="AG49" s="60"/>
      <c r="AH49" s="217">
        <f t="shared" si="0"/>
        <v>0</v>
      </c>
      <c r="AI49" s="217"/>
      <c r="AJ49" s="65"/>
      <c r="AK49" s="60">
        <f t="shared" si="5"/>
        <v>0</v>
      </c>
      <c r="AL49" s="60"/>
      <c r="AM49" s="348"/>
      <c r="AN49" s="350"/>
      <c r="AO49" s="356"/>
      <c r="AP49" s="65"/>
      <c r="AQ49" s="60"/>
      <c r="AR49" s="60">
        <f t="shared" si="60"/>
        <v>0</v>
      </c>
      <c r="AS49" s="661"/>
      <c r="AT49" s="60"/>
      <c r="AU49" s="124"/>
      <c r="AV49" s="59"/>
      <c r="AW49" s="60"/>
      <c r="AX49" s="217">
        <f t="shared" si="48"/>
        <v>0</v>
      </c>
      <c r="AY49" s="124">
        <f t="shared" si="6"/>
        <v>0</v>
      </c>
      <c r="AZ49" s="124">
        <f t="shared" si="49"/>
        <v>0</v>
      </c>
      <c r="BA49" s="124"/>
      <c r="BB49" s="60"/>
      <c r="BC49" s="60"/>
      <c r="BD49" s="60"/>
      <c r="BE49" s="60"/>
      <c r="BF49" s="60"/>
      <c r="BG49" s="124">
        <f t="shared" si="50"/>
        <v>0</v>
      </c>
      <c r="BH49" s="124"/>
      <c r="BI49" s="124"/>
      <c r="BJ49" s="60"/>
      <c r="BK49" s="60"/>
      <c r="BL49" s="124"/>
      <c r="BM49" s="124">
        <f t="shared" si="51"/>
        <v>0</v>
      </c>
      <c r="BN49" s="124"/>
      <c r="BO49" s="60"/>
      <c r="BP49" s="60">
        <f t="shared" si="52"/>
        <v>0</v>
      </c>
      <c r="BQ49" s="124">
        <f t="shared" si="53"/>
        <v>0</v>
      </c>
      <c r="BR49" s="124">
        <f t="shared" si="53"/>
        <v>0</v>
      </c>
      <c r="BS49" s="124">
        <f t="shared" si="53"/>
        <v>0</v>
      </c>
      <c r="BT49" s="260">
        <f t="shared" si="53"/>
        <v>0</v>
      </c>
      <c r="BU49" s="678"/>
      <c r="BV49" s="768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s="39" customFormat="1" x14ac:dyDescent="0.25">
      <c r="A50" s="59" t="s">
        <v>37</v>
      </c>
      <c r="B50" s="447" t="s">
        <v>146</v>
      </c>
      <c r="C50" s="60">
        <v>0</v>
      </c>
      <c r="D50" s="60">
        <v>0</v>
      </c>
      <c r="E50" s="60">
        <v>0</v>
      </c>
      <c r="F50" s="61"/>
      <c r="G50" s="61"/>
      <c r="H50" s="61"/>
      <c r="I50" s="61"/>
      <c r="J50" s="60"/>
      <c r="K50" s="60"/>
      <c r="L50" s="60"/>
      <c r="M50" s="38">
        <f t="shared" si="2"/>
        <v>0</v>
      </c>
      <c r="O50" s="60">
        <v>160000</v>
      </c>
      <c r="P50" s="60">
        <v>120000</v>
      </c>
      <c r="Q50" s="60">
        <v>120000</v>
      </c>
      <c r="R50" s="60">
        <v>0</v>
      </c>
      <c r="S50" s="60">
        <v>120000</v>
      </c>
      <c r="T50" s="60">
        <v>120000</v>
      </c>
      <c r="U50" s="60">
        <v>120000</v>
      </c>
      <c r="V50" s="60">
        <f t="shared" ref="V50:W50" si="64">U50</f>
        <v>120000</v>
      </c>
      <c r="W50" s="60">
        <f t="shared" si="64"/>
        <v>120000</v>
      </c>
      <c r="X50" s="123">
        <f t="shared" si="22"/>
        <v>100</v>
      </c>
      <c r="Z50" s="140">
        <f t="shared" si="4"/>
        <v>1</v>
      </c>
      <c r="AA50" s="69">
        <f t="shared" si="25"/>
        <v>120000</v>
      </c>
      <c r="AB50" s="60">
        <v>0</v>
      </c>
      <c r="AC50" s="60">
        <v>0</v>
      </c>
      <c r="AD50" s="60"/>
      <c r="AE50" s="123">
        <f t="shared" si="59"/>
        <v>0</v>
      </c>
      <c r="AF50" s="60">
        <v>120000</v>
      </c>
      <c r="AG50" s="60"/>
      <c r="AH50" s="217">
        <f t="shared" si="0"/>
        <v>0</v>
      </c>
      <c r="AI50" s="217">
        <v>50000</v>
      </c>
      <c r="AJ50" s="65"/>
      <c r="AK50" s="60">
        <f t="shared" si="5"/>
        <v>50000</v>
      </c>
      <c r="AL50" s="60">
        <v>50000</v>
      </c>
      <c r="AM50" s="348"/>
      <c r="AN50" s="350">
        <v>50000</v>
      </c>
      <c r="AO50" s="356"/>
      <c r="AP50" s="65">
        <v>50000</v>
      </c>
      <c r="AQ50" s="60">
        <v>0</v>
      </c>
      <c r="AR50" s="60">
        <f t="shared" si="60"/>
        <v>50000</v>
      </c>
      <c r="AS50" s="661">
        <f t="shared" si="29"/>
        <v>0</v>
      </c>
      <c r="AT50" s="60"/>
      <c r="AU50" s="124">
        <f>AP50-AT50</f>
        <v>50000</v>
      </c>
      <c r="AV50" s="59">
        <f>(AU50/AP50)*100</f>
        <v>100</v>
      </c>
      <c r="AW50" s="60">
        <v>50000</v>
      </c>
      <c r="AX50" s="217">
        <f t="shared" si="48"/>
        <v>54000</v>
      </c>
      <c r="AY50" s="124">
        <f t="shared" si="6"/>
        <v>54000</v>
      </c>
      <c r="AZ50" s="124">
        <v>0</v>
      </c>
      <c r="BA50" s="124"/>
      <c r="BB50" s="60"/>
      <c r="BC50" s="60"/>
      <c r="BD50" s="60"/>
      <c r="BE50" s="60"/>
      <c r="BF50" s="60"/>
      <c r="BG50" s="124">
        <f t="shared" si="50"/>
        <v>0</v>
      </c>
      <c r="BH50" s="124"/>
      <c r="BI50" s="124"/>
      <c r="BJ50" s="60"/>
      <c r="BK50" s="60">
        <v>759600</v>
      </c>
      <c r="BL50" s="124"/>
      <c r="BM50" s="124">
        <f t="shared" si="51"/>
        <v>0</v>
      </c>
      <c r="BN50" s="124"/>
      <c r="BO50" s="60"/>
      <c r="BP50" s="60">
        <f t="shared" si="52"/>
        <v>0</v>
      </c>
      <c r="BQ50" s="124">
        <f t="shared" si="53"/>
        <v>0</v>
      </c>
      <c r="BR50" s="124">
        <f t="shared" si="53"/>
        <v>0</v>
      </c>
      <c r="BS50" s="124">
        <f t="shared" si="53"/>
        <v>0</v>
      </c>
      <c r="BT50" s="260">
        <f t="shared" si="53"/>
        <v>0</v>
      </c>
      <c r="BU50" s="678"/>
      <c r="BV50" s="768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s="39" customFormat="1" x14ac:dyDescent="0.25">
      <c r="A51" s="59" t="s">
        <v>38</v>
      </c>
      <c r="B51" s="447" t="s">
        <v>147</v>
      </c>
      <c r="C51" s="60">
        <v>50000</v>
      </c>
      <c r="D51" s="60">
        <v>0</v>
      </c>
      <c r="E51" s="60">
        <v>0</v>
      </c>
      <c r="F51" s="61"/>
      <c r="G51" s="61"/>
      <c r="H51" s="61"/>
      <c r="I51" s="61">
        <v>0</v>
      </c>
      <c r="J51" s="60">
        <v>50000</v>
      </c>
      <c r="K51" s="60">
        <v>50000</v>
      </c>
      <c r="L51" s="60">
        <v>50000</v>
      </c>
      <c r="M51" s="38">
        <f t="shared" si="2"/>
        <v>0</v>
      </c>
      <c r="O51" s="60">
        <v>50000</v>
      </c>
      <c r="P51" s="60"/>
      <c r="Q51" s="60"/>
      <c r="R51" s="60">
        <v>50000</v>
      </c>
      <c r="S51" s="60"/>
      <c r="T51" s="60"/>
      <c r="U51" s="60">
        <v>50000</v>
      </c>
      <c r="V51" s="60">
        <f t="shared" ref="V51:W51" si="65">U51</f>
        <v>50000</v>
      </c>
      <c r="W51" s="60">
        <f t="shared" si="65"/>
        <v>50000</v>
      </c>
      <c r="X51" s="123">
        <f t="shared" si="22"/>
        <v>0</v>
      </c>
      <c r="Z51" s="140" t="e">
        <f t="shared" si="4"/>
        <v>#DIV/0!</v>
      </c>
      <c r="AA51" s="69">
        <f t="shared" si="25"/>
        <v>50000</v>
      </c>
      <c r="AB51" s="60">
        <v>34400</v>
      </c>
      <c r="AC51" s="60">
        <v>34400</v>
      </c>
      <c r="AD51" s="60">
        <v>34400</v>
      </c>
      <c r="AE51" s="123">
        <f>AD51/AA51*100</f>
        <v>68.8</v>
      </c>
      <c r="AF51" s="60">
        <v>50000</v>
      </c>
      <c r="AG51" s="60">
        <v>34400</v>
      </c>
      <c r="AH51" s="217">
        <f t="shared" si="0"/>
        <v>41280</v>
      </c>
      <c r="AI51" s="217"/>
      <c r="AJ51" s="65"/>
      <c r="AK51" s="60">
        <f t="shared" si="5"/>
        <v>0</v>
      </c>
      <c r="AL51" s="60"/>
      <c r="AM51" s="348">
        <v>34400</v>
      </c>
      <c r="AN51" s="350"/>
      <c r="AO51" s="356"/>
      <c r="AP51" s="65">
        <v>0</v>
      </c>
      <c r="AQ51" s="60">
        <v>0</v>
      </c>
      <c r="AR51" s="60">
        <f t="shared" si="60"/>
        <v>0</v>
      </c>
      <c r="AS51" s="661"/>
      <c r="AT51" s="60"/>
      <c r="AU51" s="124"/>
      <c r="AV51" s="59"/>
      <c r="AW51" s="60"/>
      <c r="AX51" s="217">
        <f t="shared" si="48"/>
        <v>0</v>
      </c>
      <c r="AY51" s="124">
        <f t="shared" si="6"/>
        <v>0</v>
      </c>
      <c r="AZ51" s="124">
        <v>50000</v>
      </c>
      <c r="BA51" s="124">
        <f>AZ51</f>
        <v>50000</v>
      </c>
      <c r="BB51" s="60">
        <v>50000</v>
      </c>
      <c r="BC51" s="60">
        <v>50000</v>
      </c>
      <c r="BD51" s="60">
        <v>0</v>
      </c>
      <c r="BE51" s="60">
        <v>0</v>
      </c>
      <c r="BF51" s="60"/>
      <c r="BG51" s="124">
        <f t="shared" si="50"/>
        <v>0</v>
      </c>
      <c r="BH51" s="124">
        <v>40000</v>
      </c>
      <c r="BI51" s="124">
        <v>40000</v>
      </c>
      <c r="BJ51" s="60">
        <v>26198</v>
      </c>
      <c r="BK51" s="60">
        <v>26198</v>
      </c>
      <c r="BL51" s="124">
        <v>40000</v>
      </c>
      <c r="BM51" s="124">
        <f t="shared" si="51"/>
        <v>46400</v>
      </c>
      <c r="BN51" s="124">
        <v>46400</v>
      </c>
      <c r="BO51" s="60">
        <v>0</v>
      </c>
      <c r="BP51" s="60">
        <f t="shared" si="52"/>
        <v>0</v>
      </c>
      <c r="BQ51" s="124">
        <f t="shared" si="53"/>
        <v>0</v>
      </c>
      <c r="BR51" s="124">
        <f t="shared" si="53"/>
        <v>0</v>
      </c>
      <c r="BS51" s="124">
        <f t="shared" si="53"/>
        <v>0</v>
      </c>
      <c r="BT51" s="260">
        <f t="shared" si="53"/>
        <v>0</v>
      </c>
      <c r="BU51" s="678"/>
      <c r="BV51" s="768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s="39" customFormat="1" x14ac:dyDescent="0.25">
      <c r="A52" s="59" t="s">
        <v>597</v>
      </c>
      <c r="B52" s="59" t="s">
        <v>148</v>
      </c>
      <c r="C52" s="60">
        <v>5072155</v>
      </c>
      <c r="D52" s="60">
        <v>4664510</v>
      </c>
      <c r="E52" s="60">
        <v>4902849</v>
      </c>
      <c r="F52" s="61">
        <v>4285003</v>
      </c>
      <c r="G52" s="60">
        <f>4902849+12000</f>
        <v>4914849</v>
      </c>
      <c r="H52" s="61">
        <v>4694271</v>
      </c>
      <c r="I52" s="61">
        <v>5298647</v>
      </c>
      <c r="J52" s="60">
        <v>6333838</v>
      </c>
      <c r="K52" s="60">
        <v>4927135</v>
      </c>
      <c r="L52" s="60">
        <v>4927135</v>
      </c>
      <c r="M52" s="38">
        <f t="shared" si="2"/>
        <v>92.98854971844699</v>
      </c>
      <c r="O52" s="60">
        <v>6374371</v>
      </c>
      <c r="P52" s="60">
        <v>3826416</v>
      </c>
      <c r="Q52" s="60">
        <v>4234511</v>
      </c>
      <c r="R52" s="60">
        <v>4927135</v>
      </c>
      <c r="S52" s="60">
        <f>5752580-S53-S54-S55</f>
        <v>5305190</v>
      </c>
      <c r="T52" s="60">
        <v>5167366</v>
      </c>
      <c r="U52" s="60">
        <f>(SUM(U39:U43)+SUM(U45:U51))*0.195</f>
        <v>5373354.4800000004</v>
      </c>
      <c r="V52" s="60">
        <f t="shared" ref="V52:W52" si="66">U52</f>
        <v>5373354.4800000004</v>
      </c>
      <c r="W52" s="60">
        <f t="shared" si="66"/>
        <v>5373354.4800000004</v>
      </c>
      <c r="X52" s="123">
        <f t="shared" si="22"/>
        <v>96.166482580542493</v>
      </c>
      <c r="Z52" s="140">
        <f t="shared" si="4"/>
        <v>1.0398633423682395</v>
      </c>
      <c r="AA52" s="69">
        <f t="shared" si="25"/>
        <v>5373354.4800000004</v>
      </c>
      <c r="AB52" s="60">
        <v>2853821</v>
      </c>
      <c r="AC52" s="60">
        <v>3795043</v>
      </c>
      <c r="AD52" s="60">
        <v>4226879</v>
      </c>
      <c r="AE52" s="123">
        <f t="shared" ref="AE52:AE53" si="67">AD52/AA52*100</f>
        <v>78.663691661005018</v>
      </c>
      <c r="AF52" s="60">
        <v>5806777</v>
      </c>
      <c r="AG52" s="60">
        <v>4662128</v>
      </c>
      <c r="AH52" s="217">
        <f t="shared" si="0"/>
        <v>5594553.5999999996</v>
      </c>
      <c r="AI52" s="217">
        <f>SUM(AI39:AI50)*0.175</f>
        <v>5770650.1999999993</v>
      </c>
      <c r="AJ52" s="222">
        <f>SUM(AJ39:AJ50)*0.175</f>
        <v>598941</v>
      </c>
      <c r="AK52" s="217">
        <f>SUM(AK39:AK50)*0.175</f>
        <v>6369591.1999999993</v>
      </c>
      <c r="AL52" s="60">
        <f>SUM(AL39:AL50)*0.175</f>
        <v>6477041.1999999993</v>
      </c>
      <c r="AM52" s="348">
        <v>5759145</v>
      </c>
      <c r="AN52" s="350">
        <v>6477041</v>
      </c>
      <c r="AO52" s="356">
        <v>3044249</v>
      </c>
      <c r="AP52" s="65">
        <v>6477041</v>
      </c>
      <c r="AQ52" s="60">
        <v>4418028</v>
      </c>
      <c r="AR52" s="60">
        <f t="shared" si="60"/>
        <v>2059013</v>
      </c>
      <c r="AS52" s="661">
        <f t="shared" si="29"/>
        <v>68.210591842787466</v>
      </c>
      <c r="AT52" s="60">
        <v>4636255</v>
      </c>
      <c r="AU52" s="124">
        <f>AP52-AT52</f>
        <v>1840786</v>
      </c>
      <c r="AV52" s="59">
        <f>(AU52/AP52)*100</f>
        <v>28.420169024713598</v>
      </c>
      <c r="AW52" s="60">
        <f>SUM(AW39:AW50)*0.175</f>
        <v>6477041.1999999993</v>
      </c>
      <c r="AX52" s="217">
        <f t="shared" si="48"/>
        <v>6995204.4959999993</v>
      </c>
      <c r="AY52" s="124">
        <f t="shared" si="6"/>
        <v>6995204.4959999993</v>
      </c>
      <c r="AZ52" s="124">
        <v>6481615</v>
      </c>
      <c r="BA52" s="124">
        <v>6481615</v>
      </c>
      <c r="BB52" s="60">
        <v>6481615</v>
      </c>
      <c r="BC52" s="124">
        <v>6481615</v>
      </c>
      <c r="BD52" s="60">
        <v>3933880</v>
      </c>
      <c r="BE52" s="60">
        <v>4460678</v>
      </c>
      <c r="BF52" s="60">
        <v>5008729</v>
      </c>
      <c r="BG52" s="124">
        <f t="shared" si="50"/>
        <v>5464068</v>
      </c>
      <c r="BH52" s="124">
        <v>7914400</v>
      </c>
      <c r="BI52" s="124">
        <v>7914400</v>
      </c>
      <c r="BJ52" s="60">
        <v>3863179</v>
      </c>
      <c r="BK52" s="60">
        <v>6219414</v>
      </c>
      <c r="BL52" s="124">
        <v>7914400</v>
      </c>
      <c r="BM52" s="124">
        <f>SUM(BM39:BM51)*0.13</f>
        <v>8426704</v>
      </c>
      <c r="BN52" s="124">
        <v>8426704</v>
      </c>
      <c r="BO52" s="60">
        <v>7148463</v>
      </c>
      <c r="BP52" s="60">
        <f t="shared" si="52"/>
        <v>8578155.6000000015</v>
      </c>
      <c r="BQ52" s="124">
        <f t="shared" si="53"/>
        <v>9435971.160000002</v>
      </c>
      <c r="BR52" s="60">
        <f>60302084*0.13</f>
        <v>7839270.9199999999</v>
      </c>
      <c r="BS52" s="60">
        <f>SUM(BS39:BS51)*0.13</f>
        <v>9325185.0899999999</v>
      </c>
      <c r="BT52" s="217">
        <f>SUM(BT39:BT51)*0.13</f>
        <v>9325185.0899999999</v>
      </c>
      <c r="BU52" s="678">
        <v>12246000</v>
      </c>
      <c r="BV52" s="768">
        <v>12538500</v>
      </c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s="39" customFormat="1" x14ac:dyDescent="0.25">
      <c r="A53" s="59" t="s">
        <v>40</v>
      </c>
      <c r="B53" s="59" t="s">
        <v>149</v>
      </c>
      <c r="C53" s="60">
        <v>208709</v>
      </c>
      <c r="D53" s="60">
        <v>161487</v>
      </c>
      <c r="E53" s="60">
        <v>208709</v>
      </c>
      <c r="F53" s="61">
        <v>204294</v>
      </c>
      <c r="G53" s="60">
        <v>208709</v>
      </c>
      <c r="H53" s="61">
        <v>214240</v>
      </c>
      <c r="I53" s="61">
        <v>224186</v>
      </c>
      <c r="J53" s="60">
        <v>208709</v>
      </c>
      <c r="K53" s="60">
        <v>208709</v>
      </c>
      <c r="L53" s="60">
        <v>208709</v>
      </c>
      <c r="M53" s="38">
        <f t="shared" si="2"/>
        <v>93.096357488870851</v>
      </c>
      <c r="O53" s="60"/>
      <c r="P53" s="60">
        <v>187082</v>
      </c>
      <c r="Q53" s="60">
        <v>197028</v>
      </c>
      <c r="R53" s="60">
        <v>208709</v>
      </c>
      <c r="S53" s="60">
        <v>216920</v>
      </c>
      <c r="T53" s="60">
        <v>216920</v>
      </c>
      <c r="U53" s="60">
        <f>24616*8+24616/2</f>
        <v>209236</v>
      </c>
      <c r="V53" s="60">
        <f t="shared" ref="V53:W53" si="68">U53</f>
        <v>209236</v>
      </c>
      <c r="W53" s="60">
        <f t="shared" si="68"/>
        <v>209236</v>
      </c>
      <c r="X53" s="123">
        <f t="shared" si="22"/>
        <v>103.67240818979526</v>
      </c>
      <c r="Z53" s="140">
        <f t="shared" si="4"/>
        <v>0.96457680250783695</v>
      </c>
      <c r="AA53" s="69">
        <f t="shared" si="25"/>
        <v>209236</v>
      </c>
      <c r="AB53" s="60">
        <v>9946</v>
      </c>
      <c r="AC53" s="60">
        <v>9946</v>
      </c>
      <c r="AD53" s="60">
        <v>9946</v>
      </c>
      <c r="AE53" s="123">
        <f t="shared" si="67"/>
        <v>4.753484104073868</v>
      </c>
      <c r="AF53" s="60"/>
      <c r="AG53" s="60">
        <v>9946</v>
      </c>
      <c r="AH53" s="217">
        <f t="shared" si="0"/>
        <v>11935.2</v>
      </c>
      <c r="AI53" s="217"/>
      <c r="AJ53" s="65"/>
      <c r="AK53" s="60">
        <f t="shared" si="5"/>
        <v>0</v>
      </c>
      <c r="AL53" s="60"/>
      <c r="AM53" s="348">
        <v>9946</v>
      </c>
      <c r="AN53" s="350"/>
      <c r="AO53" s="356"/>
      <c r="AP53" s="65"/>
      <c r="AQ53" s="60"/>
      <c r="AR53" s="60">
        <f t="shared" si="60"/>
        <v>0</v>
      </c>
      <c r="AS53" s="661"/>
      <c r="AT53" s="60"/>
      <c r="AU53" s="124"/>
      <c r="AV53" s="59"/>
      <c r="AW53" s="60"/>
      <c r="AX53" s="217">
        <f t="shared" si="48"/>
        <v>0</v>
      </c>
      <c r="AY53" s="124">
        <f t="shared" si="6"/>
        <v>0</v>
      </c>
      <c r="AZ53" s="124">
        <f t="shared" si="49"/>
        <v>0</v>
      </c>
      <c r="BA53" s="124"/>
      <c r="BB53" s="60"/>
      <c r="BC53" s="60"/>
      <c r="BD53" s="60"/>
      <c r="BE53" s="60"/>
      <c r="BF53" s="60"/>
      <c r="BG53" s="124">
        <f t="shared" si="50"/>
        <v>0</v>
      </c>
      <c r="BH53" s="124"/>
      <c r="BI53" s="124"/>
      <c r="BJ53" s="60"/>
      <c r="BK53" s="60"/>
      <c r="BL53" s="124"/>
      <c r="BM53" s="59"/>
      <c r="BN53" s="59"/>
      <c r="BO53" s="60"/>
      <c r="BP53" s="60">
        <f t="shared" si="52"/>
        <v>0</v>
      </c>
      <c r="BQ53" s="124">
        <f t="shared" si="53"/>
        <v>0</v>
      </c>
      <c r="BR53" s="124">
        <f t="shared" si="53"/>
        <v>0</v>
      </c>
      <c r="BS53" s="124">
        <f t="shared" si="53"/>
        <v>0</v>
      </c>
      <c r="BT53" s="260">
        <f t="shared" si="53"/>
        <v>0</v>
      </c>
      <c r="BU53" s="678"/>
      <c r="BV53" s="768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s="39" customFormat="1" x14ac:dyDescent="0.25">
      <c r="A54" s="59" t="s">
        <v>41</v>
      </c>
      <c r="B54" s="59" t="s">
        <v>150</v>
      </c>
      <c r="C54" s="60">
        <v>0</v>
      </c>
      <c r="D54" s="60">
        <v>189308</v>
      </c>
      <c r="E54" s="60">
        <v>0</v>
      </c>
      <c r="F54" s="61"/>
      <c r="G54" s="60">
        <v>0</v>
      </c>
      <c r="H54" s="61">
        <v>223233</v>
      </c>
      <c r="I54" s="61">
        <v>241834</v>
      </c>
      <c r="J54" s="60"/>
      <c r="K54" s="60"/>
      <c r="L54" s="60"/>
      <c r="M54" s="38">
        <f t="shared" si="2"/>
        <v>0</v>
      </c>
      <c r="O54" s="60"/>
      <c r="P54" s="60">
        <v>1745345</v>
      </c>
      <c r="Q54" s="60">
        <v>1882905</v>
      </c>
      <c r="R54" s="60">
        <v>0</v>
      </c>
      <c r="S54" s="60">
        <v>0</v>
      </c>
      <c r="T54" s="60"/>
      <c r="U54" s="60"/>
      <c r="V54" s="60">
        <f t="shared" ref="V54:W54" si="69">U54</f>
        <v>0</v>
      </c>
      <c r="W54" s="60">
        <f t="shared" si="69"/>
        <v>0</v>
      </c>
      <c r="X54" s="123"/>
      <c r="Z54" s="140" t="e">
        <f t="shared" si="4"/>
        <v>#DIV/0!</v>
      </c>
      <c r="AA54" s="69">
        <f t="shared" si="25"/>
        <v>0</v>
      </c>
      <c r="AB54" s="60"/>
      <c r="AC54" s="60"/>
      <c r="AD54" s="60"/>
      <c r="AE54" s="123"/>
      <c r="AF54" s="60"/>
      <c r="AG54" s="60"/>
      <c r="AH54" s="217">
        <f t="shared" si="0"/>
        <v>0</v>
      </c>
      <c r="AI54" s="217"/>
      <c r="AJ54" s="65"/>
      <c r="AK54" s="60">
        <f t="shared" si="5"/>
        <v>0</v>
      </c>
      <c r="AL54" s="60"/>
      <c r="AM54" s="348"/>
      <c r="AN54" s="350"/>
      <c r="AO54" s="356"/>
      <c r="AP54" s="65"/>
      <c r="AQ54" s="60">
        <v>0</v>
      </c>
      <c r="AR54" s="60">
        <f t="shared" si="60"/>
        <v>0</v>
      </c>
      <c r="AS54" s="661"/>
      <c r="AT54" s="60"/>
      <c r="AU54" s="124"/>
      <c r="AV54" s="59"/>
      <c r="AW54" s="60"/>
      <c r="AX54" s="217">
        <f t="shared" si="48"/>
        <v>0</v>
      </c>
      <c r="AY54" s="124">
        <f t="shared" si="6"/>
        <v>0</v>
      </c>
      <c r="AZ54" s="124">
        <f t="shared" si="49"/>
        <v>0</v>
      </c>
      <c r="BA54" s="124"/>
      <c r="BB54" s="60"/>
      <c r="BC54" s="60"/>
      <c r="BD54" s="60"/>
      <c r="BE54" s="60"/>
      <c r="BF54" s="60"/>
      <c r="BG54" s="124">
        <f t="shared" si="50"/>
        <v>0</v>
      </c>
      <c r="BH54" s="124"/>
      <c r="BI54" s="124"/>
      <c r="BJ54" s="60"/>
      <c r="BK54" s="60"/>
      <c r="BL54" s="124"/>
      <c r="BM54" s="59"/>
      <c r="BN54" s="59"/>
      <c r="BO54" s="60"/>
      <c r="BP54" s="60">
        <f t="shared" si="52"/>
        <v>0</v>
      </c>
      <c r="BQ54" s="124">
        <f t="shared" si="53"/>
        <v>0</v>
      </c>
      <c r="BR54" s="124">
        <f t="shared" si="53"/>
        <v>0</v>
      </c>
      <c r="BS54" s="124">
        <f t="shared" si="53"/>
        <v>0</v>
      </c>
      <c r="BT54" s="260">
        <f t="shared" si="53"/>
        <v>0</v>
      </c>
      <c r="BU54" s="678"/>
      <c r="BV54" s="768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s="39" customFormat="1" x14ac:dyDescent="0.25">
      <c r="A55" s="59" t="s">
        <v>42</v>
      </c>
      <c r="B55" s="59" t="s">
        <v>151</v>
      </c>
      <c r="C55" s="60">
        <v>238527</v>
      </c>
      <c r="D55" s="60">
        <v>0</v>
      </c>
      <c r="E55" s="60">
        <v>238527</v>
      </c>
      <c r="F55" s="61">
        <v>218866</v>
      </c>
      <c r="G55" s="60">
        <v>238527</v>
      </c>
      <c r="H55" s="61">
        <v>229521</v>
      </c>
      <c r="I55" s="61">
        <v>240176</v>
      </c>
      <c r="J55" s="60">
        <v>238527</v>
      </c>
      <c r="K55" s="60">
        <v>238527</v>
      </c>
      <c r="L55" s="60">
        <v>238527</v>
      </c>
      <c r="M55" s="38">
        <f t="shared" si="2"/>
        <v>99.313420158550386</v>
      </c>
      <c r="O55" s="60"/>
      <c r="P55" s="60">
        <v>198505</v>
      </c>
      <c r="Q55" s="60">
        <v>209160</v>
      </c>
      <c r="R55" s="60">
        <v>238527</v>
      </c>
      <c r="S55" s="60">
        <v>230470</v>
      </c>
      <c r="T55" s="60">
        <v>230470</v>
      </c>
      <c r="U55" s="60">
        <f>26375*8+26375/2</f>
        <v>224187.5</v>
      </c>
      <c r="V55" s="60">
        <f t="shared" ref="V55:W55" si="70">U55</f>
        <v>224187.5</v>
      </c>
      <c r="W55" s="60">
        <f t="shared" si="70"/>
        <v>224187.5</v>
      </c>
      <c r="X55" s="123">
        <f t="shared" si="22"/>
        <v>102.80234178979649</v>
      </c>
      <c r="Z55" s="140">
        <f t="shared" si="4"/>
        <v>0.97274048683125791</v>
      </c>
      <c r="AA55" s="69">
        <f t="shared" si="25"/>
        <v>224187.5</v>
      </c>
      <c r="AB55" s="60">
        <v>183860</v>
      </c>
      <c r="AC55" s="60">
        <v>183860</v>
      </c>
      <c r="AD55" s="60">
        <v>183860</v>
      </c>
      <c r="AE55" s="123">
        <f>AD55/AA55*100</f>
        <v>82.011708948982431</v>
      </c>
      <c r="AF55" s="60"/>
      <c r="AG55" s="60">
        <v>183860</v>
      </c>
      <c r="AH55" s="217">
        <f t="shared" si="0"/>
        <v>220632</v>
      </c>
      <c r="AI55" s="217"/>
      <c r="AJ55" s="65"/>
      <c r="AK55" s="60"/>
      <c r="AL55" s="60"/>
      <c r="AM55" s="348">
        <v>183860</v>
      </c>
      <c r="AN55" s="350"/>
      <c r="AO55" s="356"/>
      <c r="AP55" s="65"/>
      <c r="AQ55" s="60"/>
      <c r="AR55" s="60">
        <f t="shared" si="60"/>
        <v>0</v>
      </c>
      <c r="AS55" s="661"/>
      <c r="AT55" s="60">
        <v>226406</v>
      </c>
      <c r="AU55" s="124">
        <v>0</v>
      </c>
      <c r="AV55" s="59"/>
      <c r="AW55" s="60"/>
      <c r="AX55" s="217">
        <f t="shared" si="48"/>
        <v>0</v>
      </c>
      <c r="AY55" s="124">
        <f t="shared" si="6"/>
        <v>0</v>
      </c>
      <c r="AZ55" s="124">
        <f t="shared" ref="AZ55:AZ101" si="71">AY55</f>
        <v>0</v>
      </c>
      <c r="BA55" s="124"/>
      <c r="BB55" s="511"/>
      <c r="BC55" s="511"/>
      <c r="BD55" s="511"/>
      <c r="BE55" s="511"/>
      <c r="BF55" s="511"/>
      <c r="BG55" s="124">
        <f t="shared" si="50"/>
        <v>0</v>
      </c>
      <c r="BH55" s="124"/>
      <c r="BI55" s="124"/>
      <c r="BJ55" s="60"/>
      <c r="BK55" s="60"/>
      <c r="BL55" s="124"/>
      <c r="BM55" s="59"/>
      <c r="BN55" s="59"/>
      <c r="BO55" s="60"/>
      <c r="BP55" s="60">
        <f t="shared" si="52"/>
        <v>0</v>
      </c>
      <c r="BQ55" s="124">
        <f t="shared" si="53"/>
        <v>0</v>
      </c>
      <c r="BR55" s="124">
        <f t="shared" si="53"/>
        <v>0</v>
      </c>
      <c r="BS55" s="124">
        <f t="shared" si="53"/>
        <v>0</v>
      </c>
      <c r="BT55" s="260">
        <f t="shared" si="53"/>
        <v>0</v>
      </c>
      <c r="BU55" s="678"/>
      <c r="BV55" s="768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x14ac:dyDescent="0.25">
      <c r="A56" s="54" t="s">
        <v>139</v>
      </c>
      <c r="B56" s="448" t="s">
        <v>230</v>
      </c>
      <c r="C56" s="359">
        <v>400000</v>
      </c>
      <c r="D56" s="359">
        <v>35218</v>
      </c>
      <c r="E56" s="359">
        <v>235000</v>
      </c>
      <c r="F56" s="360"/>
      <c r="G56" s="360">
        <v>17572</v>
      </c>
      <c r="H56" s="360">
        <v>9124</v>
      </c>
      <c r="I56" s="360">
        <f t="shared" si="1"/>
        <v>9953.454545454546</v>
      </c>
      <c r="J56" s="359">
        <v>200000</v>
      </c>
      <c r="K56" s="359">
        <v>200000</v>
      </c>
      <c r="L56" s="359">
        <v>200000</v>
      </c>
      <c r="M56" s="361">
        <f t="shared" si="2"/>
        <v>2009.3526231185151</v>
      </c>
      <c r="N56" s="362"/>
      <c r="O56" s="359">
        <v>200000</v>
      </c>
      <c r="P56" s="359">
        <v>94508</v>
      </c>
      <c r="Q56" s="359">
        <v>94508</v>
      </c>
      <c r="R56" s="359">
        <v>200000</v>
      </c>
      <c r="S56" s="359">
        <v>190000</v>
      </c>
      <c r="T56" s="359">
        <v>152679</v>
      </c>
      <c r="U56" s="359">
        <v>200000</v>
      </c>
      <c r="V56" s="359">
        <f t="shared" ref="V56:W56" si="72">U56</f>
        <v>200000</v>
      </c>
      <c r="W56" s="359">
        <f t="shared" si="72"/>
        <v>200000</v>
      </c>
      <c r="X56" s="363">
        <f t="shared" si="22"/>
        <v>76.339500000000001</v>
      </c>
      <c r="Y56" s="362"/>
      <c r="Z56" s="364">
        <f t="shared" si="4"/>
        <v>1.3099378434493283</v>
      </c>
      <c r="AA56" s="365">
        <f t="shared" si="25"/>
        <v>200000</v>
      </c>
      <c r="AB56" s="359">
        <v>60977</v>
      </c>
      <c r="AC56" s="359">
        <v>79351</v>
      </c>
      <c r="AD56" s="359">
        <v>105364</v>
      </c>
      <c r="AE56" s="363">
        <f>AD56/AA56*100</f>
        <v>52.681999999999995</v>
      </c>
      <c r="AF56" s="359">
        <v>260000</v>
      </c>
      <c r="AG56" s="359">
        <v>216547</v>
      </c>
      <c r="AH56" s="366">
        <f t="shared" si="0"/>
        <v>259856.40000000002</v>
      </c>
      <c r="AI56" s="366">
        <v>3500000</v>
      </c>
      <c r="AK56" s="359">
        <f t="shared" si="5"/>
        <v>3500000</v>
      </c>
      <c r="AL56" s="359">
        <f t="shared" si="5"/>
        <v>3500000</v>
      </c>
      <c r="AM56" s="662">
        <v>224937</v>
      </c>
      <c r="AN56" s="663"/>
      <c r="AO56" s="367"/>
      <c r="AP56" s="65">
        <v>1000000</v>
      </c>
      <c r="AR56" s="65">
        <f t="shared" si="60"/>
        <v>1000000</v>
      </c>
      <c r="AS56" s="259">
        <f t="shared" si="29"/>
        <v>0</v>
      </c>
      <c r="AT56" s="65"/>
      <c r="AU56" s="69">
        <f>AP56-AT56</f>
        <v>1000000</v>
      </c>
      <c r="AV56" s="54">
        <f>(AU56/AP56)*100</f>
        <v>100</v>
      </c>
      <c r="AW56" s="359">
        <v>1000000</v>
      </c>
      <c r="AX56" s="366">
        <v>1000000</v>
      </c>
      <c r="AY56" s="69">
        <f t="shared" si="6"/>
        <v>1000000</v>
      </c>
      <c r="AZ56" s="69">
        <f t="shared" si="71"/>
        <v>1000000</v>
      </c>
      <c r="BA56" s="69">
        <f>AZ56</f>
        <v>1000000</v>
      </c>
      <c r="BB56" s="501">
        <v>1000000</v>
      </c>
      <c r="BC56" s="501">
        <v>590000</v>
      </c>
      <c r="BD56" s="501">
        <v>5059</v>
      </c>
      <c r="BE56" s="501">
        <v>5059</v>
      </c>
      <c r="BF56" s="221">
        <v>5059</v>
      </c>
      <c r="BG56" s="365">
        <f>BF56/10*12</f>
        <v>6070.7999999999993</v>
      </c>
      <c r="BH56" s="69">
        <v>500000</v>
      </c>
      <c r="BI56" s="69">
        <v>275000</v>
      </c>
      <c r="BJ56" s="65">
        <v>30376</v>
      </c>
      <c r="BK56" s="65">
        <v>49467</v>
      </c>
      <c r="BL56" s="69">
        <f t="shared" si="7"/>
        <v>59360.399999999994</v>
      </c>
      <c r="BM56" s="69">
        <v>500000</v>
      </c>
      <c r="BN56" s="69">
        <v>500000</v>
      </c>
      <c r="BO56" s="55">
        <v>35353</v>
      </c>
      <c r="BP56" s="65">
        <f t="shared" si="52"/>
        <v>42423.600000000006</v>
      </c>
      <c r="BQ56" s="69">
        <f>BP56*1.1</f>
        <v>46665.960000000014</v>
      </c>
      <c r="BR56" s="55">
        <v>100000</v>
      </c>
      <c r="BS56" s="55">
        <v>100000</v>
      </c>
      <c r="BT56" s="223">
        <v>100000</v>
      </c>
      <c r="BU56" s="353">
        <v>200000</v>
      </c>
      <c r="BV56" s="727">
        <v>100000</v>
      </c>
    </row>
    <row r="57" spans="1:89" x14ac:dyDescent="0.25">
      <c r="A57" s="54" t="s">
        <v>43</v>
      </c>
      <c r="B57" s="448" t="s">
        <v>152</v>
      </c>
      <c r="C57" s="359">
        <v>3420000</v>
      </c>
      <c r="D57" s="359">
        <v>3414480</v>
      </c>
      <c r="E57" s="359">
        <v>4760000</v>
      </c>
      <c r="F57" s="360">
        <f>2757117+3898</f>
        <v>2761015</v>
      </c>
      <c r="G57" s="360">
        <v>6695876</v>
      </c>
      <c r="H57" s="360">
        <v>3679607</v>
      </c>
      <c r="I57" s="360">
        <f t="shared" si="1"/>
        <v>4014116.7272727275</v>
      </c>
      <c r="J57" s="359">
        <v>4910000</v>
      </c>
      <c r="K57" s="359">
        <v>4910000</v>
      </c>
      <c r="L57" s="359">
        <v>4910000</v>
      </c>
      <c r="M57" s="361">
        <f t="shared" si="2"/>
        <v>122.31831642165407</v>
      </c>
      <c r="N57" s="362"/>
      <c r="O57" s="359">
        <v>4910000</v>
      </c>
      <c r="P57" s="359">
        <v>2338618</v>
      </c>
      <c r="Q57" s="359">
        <v>2763363</v>
      </c>
      <c r="R57" s="359">
        <v>4910000</v>
      </c>
      <c r="S57" s="359">
        <v>5330000</v>
      </c>
      <c r="T57" s="359">
        <v>3659676</v>
      </c>
      <c r="U57" s="359">
        <v>3500000</v>
      </c>
      <c r="V57" s="359">
        <f t="shared" ref="V57:W57" si="73">U57</f>
        <v>3500000</v>
      </c>
      <c r="W57" s="359">
        <f t="shared" si="73"/>
        <v>3500000</v>
      </c>
      <c r="X57" s="363">
        <f t="shared" si="22"/>
        <v>104.56217142857143</v>
      </c>
      <c r="Y57" s="362"/>
      <c r="Z57" s="364">
        <f t="shared" si="4"/>
        <v>0.95636881516287231</v>
      </c>
      <c r="AA57" s="365">
        <f t="shared" si="25"/>
        <v>3500000</v>
      </c>
      <c r="AB57" s="359">
        <v>1957523</v>
      </c>
      <c r="AC57" s="359">
        <v>2555095</v>
      </c>
      <c r="AD57" s="359">
        <v>2877493</v>
      </c>
      <c r="AE57" s="363">
        <f>AD57/AA57*100</f>
        <v>82.214085714285716</v>
      </c>
      <c r="AF57" s="359">
        <v>4350000</v>
      </c>
      <c r="AG57" s="359">
        <v>3577653</v>
      </c>
      <c r="AH57" s="366">
        <f t="shared" si="0"/>
        <v>4293183.5999999996</v>
      </c>
      <c r="AI57" s="366"/>
      <c r="AK57" s="359">
        <f t="shared" si="5"/>
        <v>0</v>
      </c>
      <c r="AL57" s="359">
        <f t="shared" si="5"/>
        <v>0</v>
      </c>
      <c r="AM57" s="662">
        <v>4063224</v>
      </c>
      <c r="AN57" s="663">
        <v>4000000</v>
      </c>
      <c r="AO57" s="367">
        <v>1337332</v>
      </c>
      <c r="AP57" s="65">
        <v>3000000</v>
      </c>
      <c r="AQ57" s="65">
        <v>2170544</v>
      </c>
      <c r="AR57" s="65">
        <f t="shared" si="60"/>
        <v>829456</v>
      </c>
      <c r="AS57" s="259">
        <f t="shared" si="29"/>
        <v>72.351466666666667</v>
      </c>
      <c r="AT57" s="65">
        <v>2596827</v>
      </c>
      <c r="AU57" s="69">
        <f>AP57-AT57</f>
        <v>403173</v>
      </c>
      <c r="AV57" s="54">
        <f>(AU57/AP57)*100</f>
        <v>13.439100000000002</v>
      </c>
      <c r="AW57" s="359">
        <v>2500000</v>
      </c>
      <c r="AX57" s="366">
        <v>2500000</v>
      </c>
      <c r="AY57" s="69">
        <f t="shared" si="6"/>
        <v>2500000</v>
      </c>
      <c r="AZ57" s="69">
        <f t="shared" si="71"/>
        <v>2500000</v>
      </c>
      <c r="BA57" s="69">
        <f>AZ57</f>
        <v>2500000</v>
      </c>
      <c r="BB57" s="501">
        <v>2500000</v>
      </c>
      <c r="BC57" s="501">
        <v>3100000</v>
      </c>
      <c r="BD57" s="501">
        <v>2566668</v>
      </c>
      <c r="BE57" s="501">
        <v>3259335</v>
      </c>
      <c r="BF57" s="221">
        <v>4031092</v>
      </c>
      <c r="BG57" s="365">
        <f t="shared" ref="BG57:BG101" si="74">BF57/10*12</f>
        <v>4837310.4000000004</v>
      </c>
      <c r="BH57" s="69">
        <v>3500000</v>
      </c>
      <c r="BI57" s="69">
        <v>6829287</v>
      </c>
      <c r="BJ57" s="65">
        <v>2579136</v>
      </c>
      <c r="BK57" s="65">
        <v>4144686</v>
      </c>
      <c r="BL57" s="69">
        <f t="shared" si="7"/>
        <v>4973623.1999999993</v>
      </c>
      <c r="BM57" s="69">
        <v>7000000</v>
      </c>
      <c r="BN57" s="69">
        <v>7000000</v>
      </c>
      <c r="BO57" s="55">
        <v>5428705</v>
      </c>
      <c r="BP57" s="65">
        <f t="shared" si="52"/>
        <v>6514446</v>
      </c>
      <c r="BQ57" s="69">
        <f t="shared" ref="BQ57:BQ101" si="75">BP57*1.1</f>
        <v>7165890.6000000006</v>
      </c>
      <c r="BR57" s="55">
        <v>7000000</v>
      </c>
      <c r="BS57" s="55">
        <v>7000000</v>
      </c>
      <c r="BT57" s="223">
        <v>7000000</v>
      </c>
      <c r="BU57" s="353">
        <v>8000000</v>
      </c>
      <c r="BV57" s="727">
        <v>8500000</v>
      </c>
    </row>
    <row r="58" spans="1:89" x14ac:dyDescent="0.25">
      <c r="A58" s="54" t="s">
        <v>243</v>
      </c>
      <c r="B58" s="446" t="s">
        <v>244</v>
      </c>
      <c r="C58" s="55"/>
      <c r="D58" s="55"/>
      <c r="E58" s="55"/>
      <c r="F58" s="56"/>
      <c r="G58" s="56"/>
      <c r="H58" s="56"/>
      <c r="I58" s="56">
        <f t="shared" si="1"/>
        <v>0</v>
      </c>
      <c r="J58" s="55"/>
      <c r="K58" s="55"/>
      <c r="L58" s="55"/>
      <c r="M58" s="1">
        <f t="shared" si="2"/>
        <v>0</v>
      </c>
      <c r="O58" s="55"/>
      <c r="P58" s="55"/>
      <c r="Q58" s="55"/>
      <c r="R58" s="55">
        <v>0</v>
      </c>
      <c r="S58" s="55"/>
      <c r="T58" s="55"/>
      <c r="U58" s="55"/>
      <c r="V58" s="55">
        <f t="shared" ref="V58:W58" si="76">U58</f>
        <v>0</v>
      </c>
      <c r="W58" s="55">
        <f t="shared" si="76"/>
        <v>0</v>
      </c>
      <c r="X58" s="122"/>
      <c r="Z58" s="140" t="e">
        <f t="shared" si="4"/>
        <v>#DIV/0!</v>
      </c>
      <c r="AA58" s="69">
        <f t="shared" si="25"/>
        <v>0</v>
      </c>
      <c r="AB58" s="55"/>
      <c r="AC58" s="55"/>
      <c r="AD58" s="55"/>
      <c r="AE58" s="123"/>
      <c r="AF58" s="65"/>
      <c r="AG58" s="55"/>
      <c r="AH58" s="217">
        <f t="shared" si="0"/>
        <v>0</v>
      </c>
      <c r="AI58" s="261">
        <v>60000</v>
      </c>
      <c r="AK58" s="55">
        <f t="shared" si="5"/>
        <v>60000</v>
      </c>
      <c r="AL58" s="55">
        <f t="shared" si="5"/>
        <v>60000</v>
      </c>
      <c r="AM58" s="347"/>
      <c r="AN58" s="349"/>
      <c r="AO58" s="354"/>
      <c r="AP58" s="65">
        <v>0</v>
      </c>
      <c r="AQ58" s="65">
        <v>0</v>
      </c>
      <c r="AR58" s="65">
        <f t="shared" si="60"/>
        <v>0</v>
      </c>
      <c r="AS58" s="259"/>
      <c r="AT58" s="65"/>
      <c r="AU58" s="69"/>
      <c r="AX58" s="223"/>
      <c r="AY58" s="69">
        <f t="shared" si="6"/>
        <v>0</v>
      </c>
      <c r="AZ58" s="69">
        <f t="shared" si="71"/>
        <v>0</v>
      </c>
      <c r="BA58" s="69">
        <f>AZ58</f>
        <v>0</v>
      </c>
      <c r="BB58" s="501"/>
      <c r="BE58" s="501"/>
      <c r="BF58" s="221"/>
      <c r="BG58" s="365">
        <f t="shared" si="74"/>
        <v>0</v>
      </c>
      <c r="BH58" s="69"/>
      <c r="BI58" s="69"/>
      <c r="BJ58" s="65"/>
      <c r="BK58" s="65"/>
      <c r="BL58" s="69">
        <f t="shared" si="7"/>
        <v>0</v>
      </c>
      <c r="BM58" s="69"/>
      <c r="BN58" s="69"/>
      <c r="BO58" s="55"/>
      <c r="BP58" s="65">
        <f t="shared" si="52"/>
        <v>0</v>
      </c>
      <c r="BQ58" s="69">
        <f t="shared" si="75"/>
        <v>0</v>
      </c>
      <c r="BR58" s="55"/>
      <c r="BS58" s="55"/>
      <c r="BT58" s="223"/>
      <c r="BU58" s="353">
        <v>300000</v>
      </c>
      <c r="BV58" s="727">
        <v>200000</v>
      </c>
    </row>
    <row r="59" spans="1:89" x14ac:dyDescent="0.25">
      <c r="A59" s="54" t="s">
        <v>44</v>
      </c>
      <c r="B59" s="446" t="s">
        <v>153</v>
      </c>
      <c r="C59" s="55">
        <v>120000</v>
      </c>
      <c r="D59" s="55">
        <v>0</v>
      </c>
      <c r="E59" s="55">
        <v>80000</v>
      </c>
      <c r="F59" s="56">
        <v>0</v>
      </c>
      <c r="G59" s="56">
        <v>49250</v>
      </c>
      <c r="H59" s="56">
        <v>0</v>
      </c>
      <c r="I59" s="56">
        <f t="shared" si="1"/>
        <v>0</v>
      </c>
      <c r="J59" s="55">
        <v>60000</v>
      </c>
      <c r="K59" s="55">
        <v>60000</v>
      </c>
      <c r="L59" s="55">
        <v>60000</v>
      </c>
      <c r="M59" s="1">
        <f t="shared" si="2"/>
        <v>0</v>
      </c>
      <c r="O59" s="55">
        <v>60000</v>
      </c>
      <c r="P59" s="55">
        <v>41420</v>
      </c>
      <c r="Q59" s="55">
        <v>56762</v>
      </c>
      <c r="R59" s="55">
        <v>60000</v>
      </c>
      <c r="S59" s="55">
        <v>72000</v>
      </c>
      <c r="T59" s="55">
        <v>71321</v>
      </c>
      <c r="U59" s="55">
        <v>60000</v>
      </c>
      <c r="V59" s="55">
        <f t="shared" ref="V59:W59" si="77">U59</f>
        <v>60000</v>
      </c>
      <c r="W59" s="55">
        <f t="shared" si="77"/>
        <v>60000</v>
      </c>
      <c r="X59" s="122">
        <f t="shared" si="22"/>
        <v>118.86833333333333</v>
      </c>
      <c r="Z59" s="140">
        <f t="shared" si="4"/>
        <v>0.8412669480237237</v>
      </c>
      <c r="AA59" s="69">
        <f t="shared" si="25"/>
        <v>60000</v>
      </c>
      <c r="AB59" s="60">
        <v>20714</v>
      </c>
      <c r="AC59" s="60">
        <v>27614</v>
      </c>
      <c r="AD59" s="60">
        <v>42180</v>
      </c>
      <c r="AE59" s="123">
        <f>AD59/AA59*100</f>
        <v>70.3</v>
      </c>
      <c r="AF59" s="65">
        <v>60000</v>
      </c>
      <c r="AG59" s="55">
        <v>49082</v>
      </c>
      <c r="AH59" s="217">
        <f t="shared" si="0"/>
        <v>58898.399999999994</v>
      </c>
      <c r="AI59" s="261">
        <v>35000</v>
      </c>
      <c r="AK59" s="55">
        <f t="shared" si="5"/>
        <v>35000</v>
      </c>
      <c r="AL59" s="55">
        <f t="shared" si="5"/>
        <v>35000</v>
      </c>
      <c r="AM59" s="347">
        <v>55982</v>
      </c>
      <c r="AN59" s="349">
        <v>35000</v>
      </c>
      <c r="AO59" s="354"/>
      <c r="AP59" s="65">
        <v>35000</v>
      </c>
      <c r="AQ59" s="65">
        <v>0</v>
      </c>
      <c r="AR59" s="65">
        <f t="shared" si="60"/>
        <v>35000</v>
      </c>
      <c r="AS59" s="259">
        <f t="shared" si="29"/>
        <v>0</v>
      </c>
      <c r="AT59" s="65"/>
      <c r="AU59" s="69">
        <f t="shared" ref="AU59:AU66" si="78">AP59-AT59</f>
        <v>35000</v>
      </c>
      <c r="AV59" s="54">
        <f t="shared" ref="AV59:AV66" si="79">(AU59/AP59)*100</f>
        <v>100</v>
      </c>
      <c r="AW59" s="55">
        <v>35000</v>
      </c>
      <c r="AX59" s="223">
        <v>35000</v>
      </c>
      <c r="AY59" s="69">
        <f t="shared" si="6"/>
        <v>35000</v>
      </c>
      <c r="AZ59" s="69">
        <f t="shared" si="71"/>
        <v>35000</v>
      </c>
      <c r="BA59" s="69">
        <f>AZ59</f>
        <v>35000</v>
      </c>
      <c r="BB59" s="501">
        <v>35000</v>
      </c>
      <c r="BC59" s="664">
        <f t="shared" ref="BC59" si="80">BA59</f>
        <v>35000</v>
      </c>
      <c r="BE59" s="501">
        <v>0</v>
      </c>
      <c r="BF59" s="221"/>
      <c r="BG59" s="365">
        <f t="shared" si="74"/>
        <v>0</v>
      </c>
      <c r="BH59" s="69"/>
      <c r="BI59" s="69"/>
      <c r="BJ59" s="65"/>
      <c r="BK59" s="65">
        <v>2990</v>
      </c>
      <c r="BL59" s="69">
        <f t="shared" si="7"/>
        <v>3588</v>
      </c>
      <c r="BM59" s="69"/>
      <c r="BN59" s="69"/>
      <c r="BO59" s="55"/>
      <c r="BP59" s="65">
        <f t="shared" si="52"/>
        <v>0</v>
      </c>
      <c r="BQ59" s="69">
        <f t="shared" si="75"/>
        <v>0</v>
      </c>
      <c r="BR59" s="55"/>
      <c r="BS59" s="55"/>
      <c r="BT59" s="223"/>
      <c r="BU59" s="353">
        <v>300000</v>
      </c>
      <c r="BV59" s="727">
        <v>150000</v>
      </c>
    </row>
    <row r="60" spans="1:89" x14ac:dyDescent="0.25">
      <c r="A60" s="54" t="s">
        <v>45</v>
      </c>
      <c r="B60" s="448" t="s">
        <v>154</v>
      </c>
      <c r="C60" s="65">
        <v>72000</v>
      </c>
      <c r="D60" s="65">
        <v>0</v>
      </c>
      <c r="E60" s="65">
        <v>70000</v>
      </c>
      <c r="F60" s="63">
        <v>46796</v>
      </c>
      <c r="G60" s="63">
        <v>152542</v>
      </c>
      <c r="H60" s="63">
        <v>53696</v>
      </c>
      <c r="I60" s="63">
        <f t="shared" si="1"/>
        <v>58577.454545454544</v>
      </c>
      <c r="J60" s="65">
        <v>60000</v>
      </c>
      <c r="K60" s="65">
        <v>60000</v>
      </c>
      <c r="L60" s="65">
        <v>60000</v>
      </c>
      <c r="M60" s="14">
        <f t="shared" si="2"/>
        <v>102.42848629320621</v>
      </c>
      <c r="O60" s="65">
        <v>60000</v>
      </c>
      <c r="P60" s="65">
        <v>22112</v>
      </c>
      <c r="Q60" s="65">
        <v>22112</v>
      </c>
      <c r="R60" s="65">
        <v>60000</v>
      </c>
      <c r="S60" s="65">
        <v>60000</v>
      </c>
      <c r="T60" s="65">
        <v>22112</v>
      </c>
      <c r="U60" s="65">
        <v>60000</v>
      </c>
      <c r="V60" s="65">
        <f t="shared" ref="V60:W60" si="81">U60</f>
        <v>60000</v>
      </c>
      <c r="W60" s="65">
        <f t="shared" si="81"/>
        <v>60000</v>
      </c>
      <c r="X60" s="121">
        <f t="shared" si="22"/>
        <v>36.853333333333332</v>
      </c>
      <c r="Z60" s="226">
        <f t="shared" si="4"/>
        <v>2.7134587554269176</v>
      </c>
      <c r="AA60" s="69">
        <f t="shared" si="25"/>
        <v>60000</v>
      </c>
      <c r="AB60" s="65">
        <v>20704</v>
      </c>
      <c r="AC60" s="65">
        <v>20704</v>
      </c>
      <c r="AD60" s="65">
        <v>20704</v>
      </c>
      <c r="AE60" s="121">
        <f>AD60/AA60*100</f>
        <v>34.506666666666668</v>
      </c>
      <c r="AF60" s="65">
        <v>30000</v>
      </c>
      <c r="AG60" s="65">
        <v>20704</v>
      </c>
      <c r="AH60" s="217">
        <f t="shared" si="0"/>
        <v>24844.800000000003</v>
      </c>
      <c r="AI60" s="261">
        <v>1500000</v>
      </c>
      <c r="AJ60" s="65">
        <v>60000</v>
      </c>
      <c r="AK60" s="55">
        <f t="shared" si="5"/>
        <v>1560000</v>
      </c>
      <c r="AL60" s="55">
        <v>1560000</v>
      </c>
      <c r="AM60" s="347">
        <v>20704</v>
      </c>
      <c r="AN60" s="349">
        <v>120000</v>
      </c>
      <c r="AO60" s="354">
        <v>47133</v>
      </c>
      <c r="AP60" s="65">
        <v>120000</v>
      </c>
      <c r="AQ60" s="65">
        <v>68673</v>
      </c>
      <c r="AR60" s="65">
        <f t="shared" si="60"/>
        <v>51327</v>
      </c>
      <c r="AS60" s="259">
        <f t="shared" si="29"/>
        <v>57.227499999999999</v>
      </c>
      <c r="AT60" s="65">
        <v>79025</v>
      </c>
      <c r="AU60" s="69">
        <f t="shared" si="78"/>
        <v>40975</v>
      </c>
      <c r="AV60" s="54">
        <f t="shared" si="79"/>
        <v>34.145833333333329</v>
      </c>
      <c r="AW60" s="55">
        <v>1560000</v>
      </c>
      <c r="AX60" s="223">
        <v>1560000</v>
      </c>
      <c r="AY60" s="69">
        <f t="shared" si="6"/>
        <v>1560000</v>
      </c>
      <c r="AZ60" s="69">
        <v>560000</v>
      </c>
      <c r="BA60" s="69">
        <v>560000</v>
      </c>
      <c r="BB60" s="501">
        <v>560000</v>
      </c>
      <c r="BC60" s="664">
        <v>560000</v>
      </c>
      <c r="BD60" s="501">
        <v>15241</v>
      </c>
      <c r="BE60" s="501">
        <v>24504</v>
      </c>
      <c r="BF60" s="221">
        <v>26953</v>
      </c>
      <c r="BG60" s="365">
        <f t="shared" si="74"/>
        <v>32343.600000000002</v>
      </c>
      <c r="BH60" s="69">
        <v>120000</v>
      </c>
      <c r="BI60" s="69">
        <v>320000</v>
      </c>
      <c r="BJ60" s="65">
        <v>50993</v>
      </c>
      <c r="BK60" s="65">
        <v>91815</v>
      </c>
      <c r="BL60" s="69">
        <f t="shared" si="7"/>
        <v>110178</v>
      </c>
      <c r="BM60" s="69">
        <v>150000</v>
      </c>
      <c r="BN60" s="69">
        <v>150000</v>
      </c>
      <c r="BO60" s="55">
        <v>129859</v>
      </c>
      <c r="BP60" s="65">
        <f t="shared" si="52"/>
        <v>155830.79999999999</v>
      </c>
      <c r="BQ60" s="69">
        <f t="shared" si="75"/>
        <v>171413.88</v>
      </c>
      <c r="BR60" s="55">
        <v>170000</v>
      </c>
      <c r="BS60" s="55">
        <v>170000</v>
      </c>
      <c r="BT60" s="223">
        <v>170000</v>
      </c>
      <c r="BU60" s="353">
        <v>100000</v>
      </c>
      <c r="BV60" s="727">
        <v>250000</v>
      </c>
    </row>
    <row r="61" spans="1:89" s="39" customFormat="1" x14ac:dyDescent="0.25">
      <c r="A61" s="54" t="s">
        <v>700</v>
      </c>
      <c r="B61" s="448" t="s">
        <v>703</v>
      </c>
      <c r="C61" s="65">
        <v>3650000</v>
      </c>
      <c r="D61" s="65">
        <v>1207839</v>
      </c>
      <c r="E61" s="65">
        <v>2640000</v>
      </c>
      <c r="F61" s="63">
        <f>1104119+9124</f>
        <v>1113243</v>
      </c>
      <c r="G61" s="63">
        <v>1938795</v>
      </c>
      <c r="H61" s="63">
        <v>1201246</v>
      </c>
      <c r="I61" s="63">
        <f t="shared" si="1"/>
        <v>1310450.1818181819</v>
      </c>
      <c r="J61" s="65">
        <v>2000000</v>
      </c>
      <c r="K61" s="65">
        <v>2000000</v>
      </c>
      <c r="L61" s="65">
        <v>2000000</v>
      </c>
      <c r="M61" s="14">
        <f t="shared" si="2"/>
        <v>152.61930806290579</v>
      </c>
      <c r="N61"/>
      <c r="O61" s="65">
        <v>2000000</v>
      </c>
      <c r="P61" s="65">
        <v>950853</v>
      </c>
      <c r="Q61" s="65">
        <v>1004920</v>
      </c>
      <c r="R61" s="65">
        <v>2000000</v>
      </c>
      <c r="S61" s="65">
        <v>1750000</v>
      </c>
      <c r="T61" s="65">
        <v>1211550</v>
      </c>
      <c r="U61" s="65">
        <v>1700000</v>
      </c>
      <c r="V61" s="65">
        <f t="shared" ref="V61" si="82">U61</f>
        <v>1700000</v>
      </c>
      <c r="W61" s="65">
        <v>1500000</v>
      </c>
      <c r="X61" s="121">
        <f t="shared" si="22"/>
        <v>71.267647058823528</v>
      </c>
      <c r="Y61"/>
      <c r="Z61" s="226">
        <f t="shared" si="4"/>
        <v>1.238083446824316</v>
      </c>
      <c r="AA61" s="69">
        <f t="shared" si="25"/>
        <v>1500000</v>
      </c>
      <c r="AB61" s="65">
        <v>977352</v>
      </c>
      <c r="AC61" s="65">
        <v>953225</v>
      </c>
      <c r="AD61" s="65">
        <v>1071502</v>
      </c>
      <c r="AE61" s="121">
        <f>AD61/AA61*100</f>
        <v>71.433466666666661</v>
      </c>
      <c r="AF61" s="65">
        <v>1600000</v>
      </c>
      <c r="AG61" s="65">
        <v>1185854</v>
      </c>
      <c r="AH61" s="217">
        <f t="shared" si="0"/>
        <v>1423024.7999999998</v>
      </c>
      <c r="AI61" s="261"/>
      <c r="AJ61" s="65"/>
      <c r="AK61" s="55">
        <f t="shared" si="5"/>
        <v>0</v>
      </c>
      <c r="AL61" s="55">
        <v>1500000</v>
      </c>
      <c r="AM61" s="347">
        <v>1329028</v>
      </c>
      <c r="AN61" s="349">
        <v>2100000</v>
      </c>
      <c r="AO61" s="354">
        <v>1138076</v>
      </c>
      <c r="AP61" s="65">
        <v>2100000</v>
      </c>
      <c r="AQ61" s="65">
        <v>1163321</v>
      </c>
      <c r="AR61" s="65">
        <f t="shared" si="60"/>
        <v>936679</v>
      </c>
      <c r="AS61" s="259">
        <f t="shared" si="29"/>
        <v>55.39623809523809</v>
      </c>
      <c r="AT61" s="65">
        <v>1221046</v>
      </c>
      <c r="AU61" s="69">
        <f t="shared" si="78"/>
        <v>878954</v>
      </c>
      <c r="AV61" s="54">
        <f t="shared" si="79"/>
        <v>41.854952380952383</v>
      </c>
      <c r="AW61" s="55">
        <v>1500000</v>
      </c>
      <c r="AX61" s="223">
        <v>1500000</v>
      </c>
      <c r="AY61" s="69">
        <f t="shared" si="6"/>
        <v>1500000</v>
      </c>
      <c r="AZ61" s="69">
        <f t="shared" si="71"/>
        <v>1500000</v>
      </c>
      <c r="BA61" s="69">
        <f t="shared" ref="BA61:BA101" si="83">AZ61</f>
        <v>1500000</v>
      </c>
      <c r="BB61" s="501">
        <v>1500000</v>
      </c>
      <c r="BC61" s="501">
        <v>2862596</v>
      </c>
      <c r="BD61" s="501">
        <v>1331603</v>
      </c>
      <c r="BE61" s="501">
        <v>1391490</v>
      </c>
      <c r="BF61" s="221">
        <v>1559876</v>
      </c>
      <c r="BG61" s="365">
        <f t="shared" si="74"/>
        <v>1871851.2000000002</v>
      </c>
      <c r="BH61" s="69">
        <v>2500000</v>
      </c>
      <c r="BI61" s="69">
        <v>4140000</v>
      </c>
      <c r="BJ61" s="65">
        <v>1296315</v>
      </c>
      <c r="BK61" s="65">
        <v>1589994</v>
      </c>
      <c r="BL61" s="69">
        <f t="shared" si="7"/>
        <v>1907992.7999999998</v>
      </c>
      <c r="BM61" s="69">
        <v>6500000</v>
      </c>
      <c r="BN61" s="69">
        <v>6500000</v>
      </c>
      <c r="BO61" s="55">
        <v>2803050</v>
      </c>
      <c r="BP61" s="65">
        <f t="shared" si="52"/>
        <v>3363660</v>
      </c>
      <c r="BQ61" s="69">
        <f t="shared" si="75"/>
        <v>3700026.0000000005</v>
      </c>
      <c r="BR61" s="55">
        <v>4000000</v>
      </c>
      <c r="BS61" s="55">
        <v>4000000</v>
      </c>
      <c r="BT61" s="245">
        <f>4000000*0.75</f>
        <v>3000000</v>
      </c>
      <c r="BU61" s="353">
        <v>2000000</v>
      </c>
      <c r="BV61" s="726">
        <v>1500000</v>
      </c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s="39" customFormat="1" x14ac:dyDescent="0.25">
      <c r="A62" s="54" t="s">
        <v>701</v>
      </c>
      <c r="B62" s="448" t="s">
        <v>704</v>
      </c>
      <c r="C62" s="65"/>
      <c r="D62" s="65"/>
      <c r="E62" s="65"/>
      <c r="F62" s="63"/>
      <c r="G62" s="63"/>
      <c r="H62" s="63"/>
      <c r="I62" s="63"/>
      <c r="J62" s="65"/>
      <c r="K62" s="65"/>
      <c r="L62" s="65"/>
      <c r="M62" s="14"/>
      <c r="N62"/>
      <c r="O62" s="65"/>
      <c r="P62" s="65"/>
      <c r="Q62" s="65"/>
      <c r="R62" s="65"/>
      <c r="S62" s="65"/>
      <c r="T62" s="65"/>
      <c r="U62" s="65"/>
      <c r="V62" s="65"/>
      <c r="W62" s="65"/>
      <c r="X62" s="121"/>
      <c r="Y62"/>
      <c r="Z62" s="226"/>
      <c r="AA62" s="69"/>
      <c r="AB62" s="65"/>
      <c r="AC62" s="65"/>
      <c r="AD62" s="65"/>
      <c r="AE62" s="121"/>
      <c r="AF62" s="65"/>
      <c r="AG62" s="65"/>
      <c r="AH62" s="217"/>
      <c r="AI62" s="261"/>
      <c r="AJ62" s="65"/>
      <c r="AK62" s="55"/>
      <c r="AL62" s="55"/>
      <c r="AM62" s="347"/>
      <c r="AN62" s="349"/>
      <c r="AO62" s="354"/>
      <c r="AP62" s="65"/>
      <c r="AQ62" s="65"/>
      <c r="AR62" s="65"/>
      <c r="AS62" s="259"/>
      <c r="AT62" s="65"/>
      <c r="AU62" s="69"/>
      <c r="AV62" s="54"/>
      <c r="AW62" s="55"/>
      <c r="AX62" s="223"/>
      <c r="AY62" s="69"/>
      <c r="AZ62" s="69"/>
      <c r="BA62" s="69"/>
      <c r="BB62" s="501"/>
      <c r="BC62" s="501"/>
      <c r="BD62" s="501"/>
      <c r="BE62" s="501"/>
      <c r="BF62" s="221"/>
      <c r="BG62" s="365"/>
      <c r="BH62" s="69"/>
      <c r="BI62" s="69"/>
      <c r="BJ62" s="65"/>
      <c r="BK62" s="65"/>
      <c r="BL62" s="69"/>
      <c r="BM62" s="69"/>
      <c r="BN62" s="69"/>
      <c r="BO62" s="55">
        <v>874509</v>
      </c>
      <c r="BP62" s="65">
        <f t="shared" si="52"/>
        <v>1049410.7999999998</v>
      </c>
      <c r="BQ62" s="69">
        <f t="shared" si="75"/>
        <v>1154351.8799999999</v>
      </c>
      <c r="BR62" s="55">
        <v>1200000</v>
      </c>
      <c r="BS62" s="55">
        <v>1200000</v>
      </c>
      <c r="BT62" s="245">
        <f>1200000*0.9</f>
        <v>1080000</v>
      </c>
      <c r="BU62" s="353">
        <v>1680000</v>
      </c>
      <c r="BV62" s="726">
        <v>1680000</v>
      </c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s="39" customFormat="1" x14ac:dyDescent="0.25">
      <c r="A63" s="54" t="s">
        <v>702</v>
      </c>
      <c r="B63" s="448" t="s">
        <v>705</v>
      </c>
      <c r="C63" s="65"/>
      <c r="D63" s="65"/>
      <c r="E63" s="65"/>
      <c r="F63" s="63"/>
      <c r="G63" s="63"/>
      <c r="H63" s="63"/>
      <c r="I63" s="63"/>
      <c r="J63" s="65"/>
      <c r="K63" s="65"/>
      <c r="L63" s="65"/>
      <c r="M63" s="14"/>
      <c r="N63"/>
      <c r="O63" s="65"/>
      <c r="P63" s="65"/>
      <c r="Q63" s="65"/>
      <c r="R63" s="65"/>
      <c r="S63" s="65"/>
      <c r="T63" s="65"/>
      <c r="U63" s="65"/>
      <c r="V63" s="65"/>
      <c r="W63" s="65"/>
      <c r="X63" s="121"/>
      <c r="Y63"/>
      <c r="Z63" s="226"/>
      <c r="AA63" s="69"/>
      <c r="AB63" s="65"/>
      <c r="AC63" s="65"/>
      <c r="AD63" s="65"/>
      <c r="AE63" s="121"/>
      <c r="AF63" s="65"/>
      <c r="AG63" s="65"/>
      <c r="AH63" s="217"/>
      <c r="AI63" s="261"/>
      <c r="AJ63" s="65"/>
      <c r="AK63" s="55"/>
      <c r="AL63" s="55"/>
      <c r="AM63" s="347"/>
      <c r="AN63" s="349"/>
      <c r="AO63" s="354"/>
      <c r="AP63" s="65"/>
      <c r="AQ63" s="65"/>
      <c r="AR63" s="65"/>
      <c r="AS63" s="259"/>
      <c r="AT63" s="65"/>
      <c r="AU63" s="69"/>
      <c r="AV63" s="54"/>
      <c r="AW63" s="55"/>
      <c r="AX63" s="223"/>
      <c r="AY63" s="69"/>
      <c r="AZ63" s="69"/>
      <c r="BA63" s="69"/>
      <c r="BB63" s="501"/>
      <c r="BC63" s="501"/>
      <c r="BD63" s="501"/>
      <c r="BE63" s="501"/>
      <c r="BF63" s="221"/>
      <c r="BG63" s="365"/>
      <c r="BH63" s="69"/>
      <c r="BI63" s="69"/>
      <c r="BJ63" s="65"/>
      <c r="BK63" s="65"/>
      <c r="BL63" s="69"/>
      <c r="BM63" s="69"/>
      <c r="BN63" s="69"/>
      <c r="BO63" s="55">
        <v>219611</v>
      </c>
      <c r="BP63" s="65">
        <f t="shared" si="52"/>
        <v>263533.19999999995</v>
      </c>
      <c r="BQ63" s="69">
        <f t="shared" si="75"/>
        <v>289886.51999999996</v>
      </c>
      <c r="BR63" s="55">
        <v>300000</v>
      </c>
      <c r="BS63" s="55">
        <v>300000</v>
      </c>
      <c r="BT63" s="245">
        <f>300000*2</f>
        <v>600000</v>
      </c>
      <c r="BU63" s="353">
        <v>600000</v>
      </c>
      <c r="BV63" s="727">
        <v>700000</v>
      </c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x14ac:dyDescent="0.25">
      <c r="A64" s="54" t="s">
        <v>231</v>
      </c>
      <c r="B64" s="446" t="s">
        <v>232</v>
      </c>
      <c r="C64" s="55"/>
      <c r="D64" s="55"/>
      <c r="E64" s="55"/>
      <c r="F64" s="56"/>
      <c r="G64" s="56">
        <v>3898</v>
      </c>
      <c r="H64" s="56">
        <v>3898</v>
      </c>
      <c r="I64" s="56">
        <f t="shared" si="1"/>
        <v>4252.363636363636</v>
      </c>
      <c r="J64" s="55"/>
      <c r="K64" s="55"/>
      <c r="L64" s="55"/>
      <c r="M64" s="1">
        <f t="shared" si="2"/>
        <v>0</v>
      </c>
      <c r="O64" s="55"/>
      <c r="P64" s="55"/>
      <c r="Q64" s="55"/>
      <c r="R64" s="55">
        <v>0</v>
      </c>
      <c r="S64" s="55"/>
      <c r="T64" s="55"/>
      <c r="U64" s="55"/>
      <c r="V64" s="55">
        <f t="shared" ref="V64:W64" si="84">U64</f>
        <v>0</v>
      </c>
      <c r="W64" s="55">
        <f t="shared" si="84"/>
        <v>0</v>
      </c>
      <c r="X64" s="122"/>
      <c r="Z64" s="140" t="e">
        <f t="shared" si="4"/>
        <v>#DIV/0!</v>
      </c>
      <c r="AA64" s="69">
        <f t="shared" si="25"/>
        <v>0</v>
      </c>
      <c r="AB64" s="55"/>
      <c r="AC64" s="55"/>
      <c r="AD64" s="55"/>
      <c r="AE64" s="123"/>
      <c r="AF64" s="65"/>
      <c r="AG64" s="55"/>
      <c r="AH64" s="217">
        <f t="shared" si="0"/>
        <v>0</v>
      </c>
      <c r="AI64" s="261">
        <v>250000</v>
      </c>
      <c r="AK64" s="55">
        <f t="shared" si="5"/>
        <v>250000</v>
      </c>
      <c r="AL64" s="55">
        <f t="shared" si="5"/>
        <v>250000</v>
      </c>
      <c r="AM64" s="347"/>
      <c r="AN64" s="349">
        <v>250000</v>
      </c>
      <c r="AO64" s="354"/>
      <c r="AP64" s="65">
        <v>250000</v>
      </c>
      <c r="AQ64" s="65">
        <v>0</v>
      </c>
      <c r="AR64" s="65">
        <f t="shared" si="60"/>
        <v>250000</v>
      </c>
      <c r="AS64" s="259">
        <f t="shared" si="29"/>
        <v>0</v>
      </c>
      <c r="AT64" s="65"/>
      <c r="AU64" s="69">
        <f t="shared" si="78"/>
        <v>250000</v>
      </c>
      <c r="AV64" s="54">
        <f t="shared" si="79"/>
        <v>100</v>
      </c>
      <c r="AW64" s="55">
        <v>250000</v>
      </c>
      <c r="AX64" s="223">
        <v>250000</v>
      </c>
      <c r="AY64" s="69">
        <f t="shared" si="6"/>
        <v>250000</v>
      </c>
      <c r="AZ64" s="69">
        <f t="shared" si="71"/>
        <v>250000</v>
      </c>
      <c r="BA64" s="69">
        <f t="shared" si="83"/>
        <v>250000</v>
      </c>
      <c r="BB64" s="501">
        <v>250000</v>
      </c>
      <c r="BC64" s="501">
        <v>250000</v>
      </c>
      <c r="BD64" s="501">
        <v>0</v>
      </c>
      <c r="BE64" s="501">
        <v>0</v>
      </c>
      <c r="BF64" s="221"/>
      <c r="BG64" s="365">
        <f t="shared" si="74"/>
        <v>0</v>
      </c>
      <c r="BH64" s="69">
        <v>50000</v>
      </c>
      <c r="BI64" s="69">
        <v>50000</v>
      </c>
      <c r="BJ64" s="65">
        <v>0</v>
      </c>
      <c r="BK64" s="65"/>
      <c r="BL64" s="69">
        <f t="shared" si="7"/>
        <v>0</v>
      </c>
      <c r="BM64" s="69">
        <v>50000</v>
      </c>
      <c r="BN64" s="69">
        <v>50000</v>
      </c>
      <c r="BO64" s="55"/>
      <c r="BP64" s="65">
        <f t="shared" si="52"/>
        <v>0</v>
      </c>
      <c r="BQ64" s="69">
        <f t="shared" si="75"/>
        <v>0</v>
      </c>
      <c r="BR64" s="55"/>
      <c r="BS64" s="55"/>
      <c r="BT64" s="223"/>
      <c r="BU64" s="353"/>
      <c r="BV64" s="727"/>
    </row>
    <row r="65" spans="1:74" x14ac:dyDescent="0.25">
      <c r="A65" s="54" t="s">
        <v>46</v>
      </c>
      <c r="B65" s="446" t="s">
        <v>155</v>
      </c>
      <c r="C65" s="55">
        <v>100000</v>
      </c>
      <c r="D65" s="55">
        <v>140161</v>
      </c>
      <c r="E65" s="55">
        <v>250000</v>
      </c>
      <c r="F65" s="56">
        <v>162060</v>
      </c>
      <c r="G65" s="56">
        <v>250000</v>
      </c>
      <c r="H65" s="63">
        <v>179580</v>
      </c>
      <c r="I65" s="56">
        <f t="shared" si="1"/>
        <v>195905.45454545456</v>
      </c>
      <c r="J65" s="55">
        <v>260000</v>
      </c>
      <c r="K65" s="55">
        <v>260000</v>
      </c>
      <c r="L65" s="55">
        <v>260000</v>
      </c>
      <c r="M65" s="1">
        <f t="shared" si="2"/>
        <v>132.71708059546347</v>
      </c>
      <c r="O65" s="55">
        <v>260000</v>
      </c>
      <c r="P65" s="55">
        <v>36264</v>
      </c>
      <c r="Q65" s="55">
        <v>36264</v>
      </c>
      <c r="R65" s="55">
        <v>260000</v>
      </c>
      <c r="S65" s="55">
        <v>60000</v>
      </c>
      <c r="T65" s="55">
        <v>54396</v>
      </c>
      <c r="U65" s="55">
        <v>260000</v>
      </c>
      <c r="V65" s="55">
        <f t="shared" ref="V65" si="85">U65</f>
        <v>260000</v>
      </c>
      <c r="W65" s="66">
        <v>100000</v>
      </c>
      <c r="X65" s="122">
        <f t="shared" si="22"/>
        <v>20.921538461538461</v>
      </c>
      <c r="Z65" s="140">
        <f t="shared" si="4"/>
        <v>1.8383704684167954</v>
      </c>
      <c r="AA65" s="69">
        <f t="shared" si="25"/>
        <v>100000</v>
      </c>
      <c r="AB65" s="60">
        <v>102626</v>
      </c>
      <c r="AC65" s="60">
        <v>140340</v>
      </c>
      <c r="AD65" s="60">
        <v>140340</v>
      </c>
      <c r="AE65" s="123">
        <f>AD65/AA65*100</f>
        <v>140.34</v>
      </c>
      <c r="AF65" s="65">
        <v>270000</v>
      </c>
      <c r="AG65" s="55">
        <v>159229</v>
      </c>
      <c r="AH65" s="217">
        <f t="shared" si="0"/>
        <v>191074.8</v>
      </c>
      <c r="AI65" s="261">
        <v>200000</v>
      </c>
      <c r="AK65" s="55">
        <f t="shared" si="5"/>
        <v>200000</v>
      </c>
      <c r="AL65" s="55">
        <f t="shared" si="5"/>
        <v>200000</v>
      </c>
      <c r="AM65" s="347">
        <v>178086</v>
      </c>
      <c r="AN65" s="349">
        <v>200000</v>
      </c>
      <c r="AO65" s="354">
        <v>88629</v>
      </c>
      <c r="AP65" s="65">
        <v>200000</v>
      </c>
      <c r="AQ65" s="65">
        <v>149727</v>
      </c>
      <c r="AR65" s="65">
        <f t="shared" si="60"/>
        <v>50273</v>
      </c>
      <c r="AS65" s="259">
        <f t="shared" si="29"/>
        <v>74.863500000000002</v>
      </c>
      <c r="AT65" s="65">
        <v>149727</v>
      </c>
      <c r="AU65" s="69">
        <f t="shared" si="78"/>
        <v>50273</v>
      </c>
      <c r="AV65" s="54">
        <f t="shared" si="79"/>
        <v>25.136500000000002</v>
      </c>
      <c r="AW65" s="55">
        <v>200000</v>
      </c>
      <c r="AX65" s="223">
        <v>200000</v>
      </c>
      <c r="AY65" s="69">
        <f t="shared" si="6"/>
        <v>200000</v>
      </c>
      <c r="AZ65" s="69">
        <f t="shared" si="71"/>
        <v>200000</v>
      </c>
      <c r="BA65" s="69">
        <f t="shared" si="83"/>
        <v>200000</v>
      </c>
      <c r="BB65" s="501">
        <v>200000</v>
      </c>
      <c r="BC65" s="501">
        <v>200000</v>
      </c>
      <c r="BD65" s="501">
        <v>144803</v>
      </c>
      <c r="BE65" s="501">
        <v>171788</v>
      </c>
      <c r="BF65" s="221">
        <v>218561</v>
      </c>
      <c r="BG65" s="365">
        <f t="shared" si="74"/>
        <v>262273.19999999995</v>
      </c>
      <c r="BH65" s="69">
        <v>200000</v>
      </c>
      <c r="BI65" s="69">
        <v>300000</v>
      </c>
      <c r="BJ65" s="65">
        <v>177022</v>
      </c>
      <c r="BK65" s="65">
        <v>258337</v>
      </c>
      <c r="BL65" s="69">
        <f t="shared" si="7"/>
        <v>310004.40000000002</v>
      </c>
      <c r="BM65" s="69">
        <v>400000</v>
      </c>
      <c r="BN65" s="69">
        <v>400000</v>
      </c>
      <c r="BO65" s="55">
        <v>256440</v>
      </c>
      <c r="BP65" s="65">
        <f t="shared" si="52"/>
        <v>307728</v>
      </c>
      <c r="BQ65" s="69">
        <f t="shared" si="75"/>
        <v>338500.80000000005</v>
      </c>
      <c r="BR65" s="55">
        <v>340000</v>
      </c>
      <c r="BS65" s="55">
        <v>340000</v>
      </c>
      <c r="BT65" s="223">
        <v>340000</v>
      </c>
      <c r="BU65" s="353">
        <v>100000</v>
      </c>
      <c r="BV65" s="726">
        <v>300000</v>
      </c>
    </row>
    <row r="66" spans="1:74" x14ac:dyDescent="0.25">
      <c r="A66" s="54" t="s">
        <v>47</v>
      </c>
      <c r="B66" s="446" t="s">
        <v>156</v>
      </c>
      <c r="C66" s="55">
        <v>500000</v>
      </c>
      <c r="D66" s="55">
        <v>227000</v>
      </c>
      <c r="E66" s="55">
        <v>500000</v>
      </c>
      <c r="F66" s="56">
        <v>136500</v>
      </c>
      <c r="G66" s="56">
        <v>136500</v>
      </c>
      <c r="H66" s="56">
        <v>136500</v>
      </c>
      <c r="I66" s="56">
        <f t="shared" si="1"/>
        <v>148909.09090909091</v>
      </c>
      <c r="J66" s="55">
        <v>800000</v>
      </c>
      <c r="K66" s="55">
        <v>800000</v>
      </c>
      <c r="L66" s="55">
        <v>800000</v>
      </c>
      <c r="M66" s="1">
        <f t="shared" si="2"/>
        <v>537.24053724053715</v>
      </c>
      <c r="O66" s="55">
        <v>550000</v>
      </c>
      <c r="P66" s="55">
        <v>99000</v>
      </c>
      <c r="Q66" s="55">
        <v>110220</v>
      </c>
      <c r="R66" s="55">
        <v>800000</v>
      </c>
      <c r="S66" s="55">
        <v>150000</v>
      </c>
      <c r="T66" s="55">
        <v>110220</v>
      </c>
      <c r="U66" s="55">
        <v>550000</v>
      </c>
      <c r="V66" s="55">
        <f t="shared" ref="V66" si="86">U66</f>
        <v>550000</v>
      </c>
      <c r="W66" s="66">
        <v>200000</v>
      </c>
      <c r="X66" s="122">
        <f t="shared" si="22"/>
        <v>20.04</v>
      </c>
      <c r="Z66" s="140">
        <f t="shared" si="4"/>
        <v>1.8145527127563055</v>
      </c>
      <c r="AA66" s="69">
        <f t="shared" si="25"/>
        <v>200000</v>
      </c>
      <c r="AB66" s="60">
        <v>19400</v>
      </c>
      <c r="AC66" s="60">
        <v>19400</v>
      </c>
      <c r="AD66" s="60">
        <v>19400</v>
      </c>
      <c r="AE66" s="123">
        <f>AD66/AA66*100</f>
        <v>9.7000000000000011</v>
      </c>
      <c r="AF66" s="65">
        <v>170000</v>
      </c>
      <c r="AG66" s="55">
        <v>19400</v>
      </c>
      <c r="AH66" s="217">
        <f t="shared" si="0"/>
        <v>23280</v>
      </c>
      <c r="AI66" s="261"/>
      <c r="AK66" s="55">
        <f t="shared" si="5"/>
        <v>0</v>
      </c>
      <c r="AL66" s="55">
        <v>200000</v>
      </c>
      <c r="AM66" s="347">
        <v>19400</v>
      </c>
      <c r="AN66" s="349">
        <v>200000</v>
      </c>
      <c r="AO66" s="354">
        <v>24000</v>
      </c>
      <c r="AP66" s="65">
        <v>200000</v>
      </c>
      <c r="AQ66" s="65">
        <v>138400</v>
      </c>
      <c r="AR66" s="65">
        <v>138400</v>
      </c>
      <c r="AS66" s="65">
        <v>138400</v>
      </c>
      <c r="AT66" s="65">
        <v>138400</v>
      </c>
      <c r="AU66" s="69">
        <f t="shared" si="78"/>
        <v>61600</v>
      </c>
      <c r="AV66" s="54">
        <f t="shared" si="79"/>
        <v>30.8</v>
      </c>
      <c r="AW66" s="55">
        <v>200000</v>
      </c>
      <c r="AX66" s="223">
        <v>200000</v>
      </c>
      <c r="AY66" s="69">
        <f t="shared" si="6"/>
        <v>200000</v>
      </c>
      <c r="AZ66" s="69">
        <v>1400000</v>
      </c>
      <c r="BA66" s="69">
        <f t="shared" si="83"/>
        <v>1400000</v>
      </c>
      <c r="BB66" s="501">
        <v>1400000</v>
      </c>
      <c r="BC66" s="501">
        <v>82761</v>
      </c>
      <c r="BD66" s="501">
        <v>0</v>
      </c>
      <c r="BE66" s="501">
        <v>0</v>
      </c>
      <c r="BF66" s="221"/>
      <c r="BG66" s="365">
        <f t="shared" si="74"/>
        <v>0</v>
      </c>
      <c r="BH66" s="69"/>
      <c r="BI66" s="69"/>
      <c r="BJ66" s="65"/>
      <c r="BK66" s="65"/>
      <c r="BL66" s="69"/>
      <c r="BM66" s="69"/>
      <c r="BN66" s="69"/>
      <c r="BO66" s="55"/>
      <c r="BP66" s="65"/>
      <c r="BQ66" s="69">
        <f t="shared" si="75"/>
        <v>0</v>
      </c>
      <c r="BR66" s="55"/>
      <c r="BS66" s="55"/>
      <c r="BT66" s="223"/>
      <c r="BU66" s="353"/>
      <c r="BV66" s="727"/>
    </row>
    <row r="67" spans="1:74" x14ac:dyDescent="0.25">
      <c r="A67" s="54" t="s">
        <v>48</v>
      </c>
      <c r="B67" s="446" t="s">
        <v>157</v>
      </c>
      <c r="C67" s="55">
        <v>0</v>
      </c>
      <c r="D67" s="55">
        <v>0</v>
      </c>
      <c r="E67" s="55">
        <v>0</v>
      </c>
      <c r="F67" s="56">
        <v>2900</v>
      </c>
      <c r="G67" s="56">
        <v>2900</v>
      </c>
      <c r="H67" s="56">
        <v>2900</v>
      </c>
      <c r="I67" s="56">
        <f t="shared" si="1"/>
        <v>3163.6363636363635</v>
      </c>
      <c r="J67" s="55"/>
      <c r="K67" s="55"/>
      <c r="L67" s="55"/>
      <c r="M67" s="1">
        <f t="shared" si="2"/>
        <v>0</v>
      </c>
      <c r="O67" s="55"/>
      <c r="P67" s="55"/>
      <c r="Q67" s="55"/>
      <c r="R67" s="55">
        <v>0</v>
      </c>
      <c r="S67" s="55"/>
      <c r="T67" s="55"/>
      <c r="U67" s="55"/>
      <c r="V67" s="55">
        <f t="shared" ref="V67:W67" si="87">U67</f>
        <v>0</v>
      </c>
      <c r="W67" s="55">
        <f t="shared" si="87"/>
        <v>0</v>
      </c>
      <c r="X67" s="122"/>
      <c r="Z67" s="140" t="e">
        <f t="shared" si="4"/>
        <v>#DIV/0!</v>
      </c>
      <c r="AA67" s="69">
        <f t="shared" si="25"/>
        <v>0</v>
      </c>
      <c r="AB67" s="55"/>
      <c r="AC67" s="55"/>
      <c r="AD67" s="55"/>
      <c r="AE67" s="123"/>
      <c r="AF67" s="65"/>
      <c r="AG67" s="55"/>
      <c r="AH67" s="217">
        <f t="shared" si="0"/>
        <v>0</v>
      </c>
      <c r="AI67" s="261"/>
      <c r="AK67" s="55">
        <f t="shared" si="5"/>
        <v>0</v>
      </c>
      <c r="AL67" s="55">
        <f t="shared" si="5"/>
        <v>0</v>
      </c>
      <c r="AM67" s="347"/>
      <c r="AN67" s="349"/>
      <c r="AO67" s="354"/>
      <c r="AP67" s="65">
        <v>0</v>
      </c>
      <c r="AQ67" s="65">
        <v>0</v>
      </c>
      <c r="AR67" s="65">
        <f t="shared" si="60"/>
        <v>0</v>
      </c>
      <c r="AS67" s="259"/>
      <c r="AT67" s="65"/>
      <c r="AU67" s="69"/>
      <c r="AW67" s="55">
        <f t="shared" ref="AW67:AX71" si="88">AV67+AU67</f>
        <v>0</v>
      </c>
      <c r="AX67" s="223">
        <f t="shared" si="88"/>
        <v>0</v>
      </c>
      <c r="AY67" s="69">
        <f t="shared" si="6"/>
        <v>0</v>
      </c>
      <c r="AZ67" s="69">
        <f t="shared" si="71"/>
        <v>0</v>
      </c>
      <c r="BA67" s="69">
        <f t="shared" si="83"/>
        <v>0</v>
      </c>
      <c r="BB67" s="501"/>
      <c r="BE67" s="501"/>
      <c r="BF67" s="221"/>
      <c r="BG67" s="365">
        <f t="shared" si="74"/>
        <v>0</v>
      </c>
      <c r="BH67" s="69"/>
      <c r="BI67" s="69"/>
      <c r="BJ67" s="65"/>
      <c r="BK67" s="65"/>
      <c r="BL67" s="69"/>
      <c r="BM67" s="69"/>
      <c r="BN67" s="69"/>
      <c r="BO67" s="55"/>
      <c r="BP67" s="65"/>
      <c r="BQ67" s="69">
        <f t="shared" si="75"/>
        <v>0</v>
      </c>
      <c r="BR67" s="55"/>
      <c r="BS67" s="55"/>
      <c r="BT67" s="223"/>
      <c r="BU67" s="353"/>
      <c r="BV67" s="727"/>
    </row>
    <row r="68" spans="1:74" x14ac:dyDescent="0.25">
      <c r="A68" s="54" t="s">
        <v>233</v>
      </c>
      <c r="B68" s="446" t="s">
        <v>234</v>
      </c>
      <c r="C68" s="55">
        <v>0</v>
      </c>
      <c r="D68" s="55"/>
      <c r="E68" s="55"/>
      <c r="F68" s="56"/>
      <c r="G68" s="56">
        <v>600000</v>
      </c>
      <c r="H68" s="56">
        <v>350000</v>
      </c>
      <c r="I68" s="56">
        <f t="shared" si="1"/>
        <v>381818.18181818182</v>
      </c>
      <c r="J68" s="55"/>
      <c r="K68" s="55"/>
      <c r="L68" s="55"/>
      <c r="M68" s="1">
        <f t="shared" si="2"/>
        <v>0</v>
      </c>
      <c r="O68" s="55"/>
      <c r="P68" s="55"/>
      <c r="Q68" s="55"/>
      <c r="R68" s="55">
        <v>0</v>
      </c>
      <c r="S68" s="55"/>
      <c r="T68" s="55"/>
      <c r="U68" s="55"/>
      <c r="V68" s="55">
        <f t="shared" ref="V68:W68" si="89">U68</f>
        <v>0</v>
      </c>
      <c r="W68" s="55">
        <f t="shared" si="89"/>
        <v>0</v>
      </c>
      <c r="X68" s="122"/>
      <c r="Z68" s="140" t="e">
        <f t="shared" si="4"/>
        <v>#DIV/0!</v>
      </c>
      <c r="AA68" s="69">
        <f t="shared" si="25"/>
        <v>0</v>
      </c>
      <c r="AB68" s="55"/>
      <c r="AC68" s="60">
        <v>0</v>
      </c>
      <c r="AD68" s="60"/>
      <c r="AE68" s="123"/>
      <c r="AF68" s="65">
        <v>64000</v>
      </c>
      <c r="AG68" s="55"/>
      <c r="AH68" s="217">
        <f t="shared" si="0"/>
        <v>0</v>
      </c>
      <c r="AI68" s="261">
        <v>1000000</v>
      </c>
      <c r="AK68" s="55">
        <f t="shared" si="5"/>
        <v>1000000</v>
      </c>
      <c r="AM68" s="347"/>
      <c r="AN68" s="349"/>
      <c r="AO68" s="354"/>
      <c r="AP68" s="65">
        <v>0</v>
      </c>
      <c r="AQ68" s="65">
        <v>0</v>
      </c>
      <c r="AR68" s="65">
        <f t="shared" si="60"/>
        <v>0</v>
      </c>
      <c r="AS68" s="259"/>
      <c r="AT68" s="65"/>
      <c r="AU68" s="69"/>
      <c r="AX68" s="223"/>
      <c r="AY68" s="69">
        <f t="shared" si="6"/>
        <v>0</v>
      </c>
      <c r="AZ68" s="69">
        <f t="shared" si="71"/>
        <v>0</v>
      </c>
      <c r="BA68" s="69">
        <f t="shared" si="83"/>
        <v>0</v>
      </c>
      <c r="BB68" s="501"/>
      <c r="BE68" s="501"/>
      <c r="BF68" s="221"/>
      <c r="BG68" s="365">
        <f t="shared" si="74"/>
        <v>0</v>
      </c>
      <c r="BH68" s="69"/>
      <c r="BI68" s="69"/>
      <c r="BJ68" s="65"/>
      <c r="BK68" s="65"/>
      <c r="BL68" s="69"/>
      <c r="BM68" s="69"/>
      <c r="BN68" s="69"/>
      <c r="BO68" s="55"/>
      <c r="BP68" s="65"/>
      <c r="BQ68" s="69">
        <f t="shared" si="75"/>
        <v>0</v>
      </c>
      <c r="BR68" s="55"/>
      <c r="BS68" s="55"/>
      <c r="BT68" s="223"/>
      <c r="BU68" s="353"/>
      <c r="BV68" s="727"/>
    </row>
    <row r="69" spans="1:74" x14ac:dyDescent="0.25">
      <c r="A69" s="54" t="s">
        <v>49</v>
      </c>
      <c r="B69" s="446" t="s">
        <v>158</v>
      </c>
      <c r="C69" s="55">
        <v>2514000</v>
      </c>
      <c r="D69" s="55">
        <v>1219834</v>
      </c>
      <c r="E69" s="55">
        <v>2287000</v>
      </c>
      <c r="F69" s="56">
        <f>383088+350000</f>
        <v>733088</v>
      </c>
      <c r="G69" s="56">
        <v>461802</v>
      </c>
      <c r="H69" s="56">
        <v>388763</v>
      </c>
      <c r="I69" s="56">
        <f t="shared" si="1"/>
        <v>424105.09090909094</v>
      </c>
      <c r="J69" s="55">
        <v>2000000</v>
      </c>
      <c r="K69" s="55">
        <v>2000000</v>
      </c>
      <c r="L69" s="55">
        <v>2000000</v>
      </c>
      <c r="M69" s="1">
        <f t="shared" si="2"/>
        <v>471.5812290092764</v>
      </c>
      <c r="O69" s="55">
        <v>2000000</v>
      </c>
      <c r="P69" s="55">
        <v>684156</v>
      </c>
      <c r="Q69" s="55">
        <v>774768</v>
      </c>
      <c r="R69" s="55">
        <v>2000000</v>
      </c>
      <c r="S69" s="55">
        <v>1414570</v>
      </c>
      <c r="T69" s="55">
        <v>1015220</v>
      </c>
      <c r="U69" s="55">
        <v>1200000</v>
      </c>
      <c r="V69" s="55">
        <f t="shared" ref="V69:W69" si="90">U69</f>
        <v>1200000</v>
      </c>
      <c r="W69" s="55">
        <f t="shared" si="90"/>
        <v>1200000</v>
      </c>
      <c r="X69" s="122">
        <f t="shared" si="22"/>
        <v>84.601666666666659</v>
      </c>
      <c r="Z69" s="140">
        <f t="shared" si="4"/>
        <v>1.1820098106814287</v>
      </c>
      <c r="AA69" s="69">
        <f t="shared" si="25"/>
        <v>1200000</v>
      </c>
      <c r="AB69" s="55">
        <v>531683</v>
      </c>
      <c r="AC69" s="60">
        <v>610203</v>
      </c>
      <c r="AD69" s="60">
        <v>714485</v>
      </c>
      <c r="AE69" s="123">
        <f>AD69/AA69*100</f>
        <v>59.540416666666665</v>
      </c>
      <c r="AF69" s="65">
        <v>1751101</v>
      </c>
      <c r="AG69" s="55">
        <v>725095</v>
      </c>
      <c r="AH69" s="217">
        <f t="shared" si="0"/>
        <v>870114</v>
      </c>
      <c r="AI69" s="261">
        <v>250000</v>
      </c>
      <c r="AK69" s="55">
        <f t="shared" si="5"/>
        <v>250000</v>
      </c>
      <c r="AL69" s="55">
        <v>1000000</v>
      </c>
      <c r="AM69" s="347">
        <v>960477</v>
      </c>
      <c r="AN69" s="349">
        <v>1400000</v>
      </c>
      <c r="AO69" s="354">
        <v>588174</v>
      </c>
      <c r="AP69" s="65">
        <v>1400000</v>
      </c>
      <c r="AQ69" s="65">
        <v>715036</v>
      </c>
      <c r="AR69" s="65">
        <f t="shared" si="60"/>
        <v>684964</v>
      </c>
      <c r="AS69" s="259">
        <f t="shared" si="29"/>
        <v>51.073999999999998</v>
      </c>
      <c r="AT69" s="65">
        <v>805371</v>
      </c>
      <c r="AU69" s="69">
        <f>AP69-AT69</f>
        <v>594629</v>
      </c>
      <c r="AV69" s="54">
        <f>(AU69/AP69)*100</f>
        <v>42.473499999999994</v>
      </c>
      <c r="AW69" s="55">
        <v>1000000</v>
      </c>
      <c r="AX69" s="223">
        <v>1000000</v>
      </c>
      <c r="AY69" s="69">
        <f t="shared" si="6"/>
        <v>1000000</v>
      </c>
      <c r="AZ69" s="69">
        <v>2000000</v>
      </c>
      <c r="BA69" s="69">
        <f t="shared" si="83"/>
        <v>2000000</v>
      </c>
      <c r="BB69" s="501">
        <v>2000000</v>
      </c>
      <c r="BC69" s="501">
        <v>4981487</v>
      </c>
      <c r="BD69" s="501">
        <v>402047</v>
      </c>
      <c r="BE69" s="501">
        <v>473999</v>
      </c>
      <c r="BF69" s="221">
        <v>630816</v>
      </c>
      <c r="BG69" s="365">
        <f t="shared" si="74"/>
        <v>756979.19999999995</v>
      </c>
      <c r="BH69" s="69">
        <v>500000</v>
      </c>
      <c r="BI69" s="69">
        <v>7261998</v>
      </c>
      <c r="BJ69" s="65">
        <v>1018290</v>
      </c>
      <c r="BK69" s="65">
        <v>1381979</v>
      </c>
      <c r="BL69" s="69">
        <f t="shared" si="7"/>
        <v>1658374.7999999998</v>
      </c>
      <c r="BM69" s="69">
        <v>2000000</v>
      </c>
      <c r="BN69" s="69">
        <v>2000000</v>
      </c>
      <c r="BO69" s="55">
        <v>1146306</v>
      </c>
      <c r="BP69" s="65">
        <f t="shared" si="52"/>
        <v>1375567.2000000002</v>
      </c>
      <c r="BQ69" s="69">
        <f t="shared" si="75"/>
        <v>1513123.9200000004</v>
      </c>
      <c r="BR69" s="55">
        <v>1600000</v>
      </c>
      <c r="BS69" s="55">
        <v>1600000</v>
      </c>
      <c r="BT69" s="223">
        <v>1600000</v>
      </c>
      <c r="BU69" s="353">
        <v>1880000</v>
      </c>
      <c r="BV69" s="727">
        <v>2000000</v>
      </c>
    </row>
    <row r="70" spans="1:74" x14ac:dyDescent="0.25">
      <c r="A70" s="54" t="s">
        <v>50</v>
      </c>
      <c r="B70" s="446" t="s">
        <v>159</v>
      </c>
      <c r="C70" s="55">
        <v>120000</v>
      </c>
      <c r="D70" s="55">
        <v>52800</v>
      </c>
      <c r="E70" s="55">
        <v>50000</v>
      </c>
      <c r="F70" s="56">
        <v>15225</v>
      </c>
      <c r="G70" s="56">
        <v>50000</v>
      </c>
      <c r="H70" s="56">
        <v>15225</v>
      </c>
      <c r="I70" s="56">
        <f t="shared" si="1"/>
        <v>16609.090909090908</v>
      </c>
      <c r="J70" s="55">
        <v>30000</v>
      </c>
      <c r="K70" s="55">
        <v>30000</v>
      </c>
      <c r="L70" s="55">
        <v>30000</v>
      </c>
      <c r="M70" s="1">
        <f t="shared" si="2"/>
        <v>180.623973727422</v>
      </c>
      <c r="O70" s="55">
        <v>30000</v>
      </c>
      <c r="P70" s="55"/>
      <c r="Q70" s="55"/>
      <c r="R70" s="55">
        <v>30000</v>
      </c>
      <c r="S70" s="55">
        <v>30000</v>
      </c>
      <c r="T70" s="55"/>
      <c r="U70" s="55">
        <v>30000</v>
      </c>
      <c r="V70" s="55">
        <f t="shared" ref="V70:W70" si="91">U70</f>
        <v>30000</v>
      </c>
      <c r="W70" s="55">
        <f t="shared" si="91"/>
        <v>30000</v>
      </c>
      <c r="X70" s="122">
        <f t="shared" si="22"/>
        <v>0</v>
      </c>
      <c r="Z70" s="140" t="e">
        <f t="shared" si="4"/>
        <v>#DIV/0!</v>
      </c>
      <c r="AA70" s="69">
        <f t="shared" si="25"/>
        <v>30000</v>
      </c>
      <c r="AB70" s="55">
        <v>6460</v>
      </c>
      <c r="AC70" s="60">
        <v>13930</v>
      </c>
      <c r="AD70" s="60">
        <v>13930</v>
      </c>
      <c r="AE70" s="123">
        <f>AD70/AA70*100</f>
        <v>46.43333333333333</v>
      </c>
      <c r="AF70" s="65">
        <v>30000</v>
      </c>
      <c r="AG70" s="55">
        <v>13930</v>
      </c>
      <c r="AH70" s="217">
        <f t="shared" si="0"/>
        <v>16716</v>
      </c>
      <c r="AI70" s="261"/>
      <c r="AK70" s="55">
        <f t="shared" si="5"/>
        <v>0</v>
      </c>
      <c r="AL70" s="55">
        <v>250000</v>
      </c>
      <c r="AM70" s="347">
        <v>13930</v>
      </c>
      <c r="AN70" s="349">
        <v>50000</v>
      </c>
      <c r="AO70" s="354"/>
      <c r="AP70" s="65">
        <v>50000</v>
      </c>
      <c r="AQ70" s="65">
        <v>0</v>
      </c>
      <c r="AR70" s="65">
        <f t="shared" si="60"/>
        <v>50000</v>
      </c>
      <c r="AS70" s="259">
        <f t="shared" si="29"/>
        <v>0</v>
      </c>
      <c r="AT70" s="65"/>
      <c r="AU70" s="69">
        <f>AP70-AT70</f>
        <v>50000</v>
      </c>
      <c r="AV70" s="54">
        <f>(AU70/AP70)*100</f>
        <v>100</v>
      </c>
      <c r="AW70" s="55">
        <v>250000</v>
      </c>
      <c r="AX70" s="223">
        <v>250000</v>
      </c>
      <c r="AY70" s="69">
        <f t="shared" si="6"/>
        <v>250000</v>
      </c>
      <c r="AZ70" s="69">
        <f t="shared" si="71"/>
        <v>250000</v>
      </c>
      <c r="BA70" s="69">
        <f t="shared" si="83"/>
        <v>250000</v>
      </c>
      <c r="BB70" s="501">
        <v>250000</v>
      </c>
      <c r="BC70" s="501">
        <v>250000</v>
      </c>
      <c r="BD70" s="501">
        <v>0</v>
      </c>
      <c r="BE70" s="501"/>
      <c r="BF70" s="221"/>
      <c r="BG70" s="365">
        <f t="shared" si="74"/>
        <v>0</v>
      </c>
      <c r="BH70" s="69"/>
      <c r="BI70" s="69">
        <v>6070</v>
      </c>
      <c r="BJ70" s="65">
        <v>0</v>
      </c>
      <c r="BK70" s="65"/>
      <c r="BL70" s="69">
        <f t="shared" si="7"/>
        <v>0</v>
      </c>
      <c r="BM70" s="69"/>
      <c r="BN70" s="69"/>
      <c r="BO70" s="55"/>
      <c r="BP70" s="65">
        <f t="shared" si="52"/>
        <v>0</v>
      </c>
      <c r="BQ70" s="69">
        <f t="shared" si="75"/>
        <v>0</v>
      </c>
      <c r="BR70" s="55"/>
      <c r="BS70" s="55"/>
      <c r="BT70" s="223"/>
      <c r="BU70" s="353"/>
      <c r="BV70" s="727"/>
    </row>
    <row r="71" spans="1:74" x14ac:dyDescent="0.25">
      <c r="A71" s="54" t="s">
        <v>257</v>
      </c>
      <c r="B71" s="446" t="s">
        <v>258</v>
      </c>
      <c r="C71" s="55"/>
      <c r="D71" s="55"/>
      <c r="E71" s="55"/>
      <c r="F71" s="56"/>
      <c r="G71" s="56"/>
      <c r="H71" s="56"/>
      <c r="I71" s="56">
        <f t="shared" si="1"/>
        <v>0</v>
      </c>
      <c r="J71" s="55"/>
      <c r="K71" s="55"/>
      <c r="L71" s="55"/>
      <c r="M71" s="1">
        <f t="shared" si="2"/>
        <v>0</v>
      </c>
      <c r="O71" s="55"/>
      <c r="P71" s="55"/>
      <c r="Q71" s="55"/>
      <c r="R71" s="55">
        <v>0</v>
      </c>
      <c r="S71" s="55"/>
      <c r="T71" s="55"/>
      <c r="U71" s="55"/>
      <c r="V71" s="55">
        <f t="shared" ref="V71:W71" si="92">U71</f>
        <v>0</v>
      </c>
      <c r="W71" s="55">
        <f t="shared" si="92"/>
        <v>0</v>
      </c>
      <c r="X71" s="122"/>
      <c r="Z71" s="140" t="e">
        <f t="shared" si="4"/>
        <v>#DIV/0!</v>
      </c>
      <c r="AA71" s="69">
        <f t="shared" si="25"/>
        <v>0</v>
      </c>
      <c r="AB71" s="55"/>
      <c r="AC71" s="55"/>
      <c r="AD71" s="55"/>
      <c r="AE71" s="123"/>
      <c r="AF71" s="65"/>
      <c r="AG71" s="55"/>
      <c r="AH71" s="217">
        <f t="shared" ref="AH71:AH101" si="93">AG71/10*12</f>
        <v>0</v>
      </c>
      <c r="AI71" s="261"/>
      <c r="AK71" s="55">
        <f t="shared" si="5"/>
        <v>0</v>
      </c>
      <c r="AL71" s="55">
        <f t="shared" si="5"/>
        <v>0</v>
      </c>
      <c r="AM71" s="347"/>
      <c r="AN71" s="349"/>
      <c r="AO71" s="354"/>
      <c r="AP71" s="65">
        <v>0</v>
      </c>
      <c r="AQ71" s="65">
        <v>0</v>
      </c>
      <c r="AR71" s="65">
        <f t="shared" si="60"/>
        <v>0</v>
      </c>
      <c r="AS71" s="259"/>
      <c r="AT71" s="65"/>
      <c r="AU71" s="69"/>
      <c r="AW71" s="55">
        <f t="shared" si="88"/>
        <v>0</v>
      </c>
      <c r="AX71" s="223">
        <f t="shared" si="88"/>
        <v>0</v>
      </c>
      <c r="AY71" s="69">
        <f t="shared" ref="AY71:AY101" si="94">AX71</f>
        <v>0</v>
      </c>
      <c r="AZ71" s="69">
        <f t="shared" si="71"/>
        <v>0</v>
      </c>
      <c r="BA71" s="69">
        <f t="shared" si="83"/>
        <v>0</v>
      </c>
      <c r="BB71" s="501"/>
      <c r="BE71" s="501"/>
      <c r="BF71" s="221"/>
      <c r="BG71" s="365">
        <f t="shared" si="74"/>
        <v>0</v>
      </c>
      <c r="BH71" s="69"/>
      <c r="BI71" s="69"/>
      <c r="BJ71" s="65"/>
      <c r="BK71" s="65"/>
      <c r="BL71" s="69">
        <f t="shared" ref="BL71:BL73" si="95">BK71/10*12</f>
        <v>0</v>
      </c>
      <c r="BM71" s="69"/>
      <c r="BN71" s="69"/>
      <c r="BO71" s="55"/>
      <c r="BP71" s="65">
        <f t="shared" si="52"/>
        <v>0</v>
      </c>
      <c r="BQ71" s="69">
        <f t="shared" si="75"/>
        <v>0</v>
      </c>
      <c r="BR71" s="55"/>
      <c r="BS71" s="55"/>
      <c r="BT71" s="223"/>
      <c r="BU71" s="353"/>
      <c r="BV71" s="727"/>
    </row>
    <row r="72" spans="1:74" ht="15.75" x14ac:dyDescent="0.25">
      <c r="A72" s="54" t="s">
        <v>51</v>
      </c>
      <c r="B72" s="446" t="s">
        <v>160</v>
      </c>
      <c r="C72" s="55">
        <v>1842480</v>
      </c>
      <c r="D72" s="55">
        <v>1334651</v>
      </c>
      <c r="E72" s="55">
        <v>1500000</v>
      </c>
      <c r="F72" s="56">
        <v>987645</v>
      </c>
      <c r="G72" s="56">
        <v>2279275</v>
      </c>
      <c r="H72" s="56">
        <v>1244778</v>
      </c>
      <c r="I72" s="56">
        <f t="shared" si="1"/>
        <v>1357939.6363636365</v>
      </c>
      <c r="J72" s="55">
        <v>2778300</v>
      </c>
      <c r="K72" s="55">
        <v>2058000</v>
      </c>
      <c r="L72" s="55">
        <f>SUM(L56:L69)*0.2</f>
        <v>2058000</v>
      </c>
      <c r="M72" s="55">
        <f t="shared" ref="M72:W72" si="96">SUM(M56:M69)*0.2</f>
        <v>705.65151614831166</v>
      </c>
      <c r="N72" s="55">
        <f t="shared" si="96"/>
        <v>0</v>
      </c>
      <c r="O72" s="55">
        <f t="shared" si="96"/>
        <v>2008000</v>
      </c>
      <c r="P72" s="55">
        <f t="shared" si="96"/>
        <v>853386.20000000007</v>
      </c>
      <c r="Q72" s="55">
        <f t="shared" si="96"/>
        <v>972583.4</v>
      </c>
      <c r="R72" s="66">
        <f t="shared" si="96"/>
        <v>2058000</v>
      </c>
      <c r="S72" s="66">
        <f t="shared" si="96"/>
        <v>1805314</v>
      </c>
      <c r="T72" s="66">
        <f t="shared" si="96"/>
        <v>1259434.8</v>
      </c>
      <c r="U72" s="66">
        <f t="shared" si="96"/>
        <v>1506000</v>
      </c>
      <c r="V72" s="66">
        <f t="shared" si="96"/>
        <v>1506000</v>
      </c>
      <c r="W72" s="66">
        <f t="shared" si="96"/>
        <v>1364000</v>
      </c>
      <c r="X72" s="122">
        <f t="shared" si="22"/>
        <v>83.627808764940241</v>
      </c>
      <c r="Z72" s="140">
        <f t="shared" si="4"/>
        <v>1.0830254968339765</v>
      </c>
      <c r="AA72" s="65">
        <f t="shared" ref="AA72" si="97">SUM(AA56:AA69)*0.2</f>
        <v>1364000</v>
      </c>
      <c r="AB72" s="55">
        <v>725291</v>
      </c>
      <c r="AC72" s="60">
        <v>891465</v>
      </c>
      <c r="AD72" s="60">
        <v>1002128</v>
      </c>
      <c r="AE72" s="123">
        <f>AD72/AA72*100</f>
        <v>73.469794721407624</v>
      </c>
      <c r="AF72" s="65">
        <v>1564000</v>
      </c>
      <c r="AG72" s="55">
        <v>1176172</v>
      </c>
      <c r="AH72" s="217">
        <f t="shared" si="93"/>
        <v>1411406.4</v>
      </c>
      <c r="AI72" s="330">
        <f>SUM(AI56:AI71)*0.21</f>
        <v>1426950</v>
      </c>
      <c r="AJ72" s="222">
        <f>SUM(AJ56:AJ71)*0.21</f>
        <v>12600</v>
      </c>
      <c r="AK72" s="55">
        <f t="shared" ref="AK72:AK101" si="98">AJ72+AI72</f>
        <v>1439550</v>
      </c>
      <c r="AL72" s="55">
        <v>1439550</v>
      </c>
      <c r="AM72" s="347">
        <v>1327133</v>
      </c>
      <c r="AN72" s="349">
        <v>1439550</v>
      </c>
      <c r="AO72" s="354">
        <v>678421</v>
      </c>
      <c r="AP72" s="65">
        <v>1439550</v>
      </c>
      <c r="AQ72" s="65">
        <v>929498</v>
      </c>
      <c r="AR72" s="65">
        <f t="shared" si="60"/>
        <v>510052</v>
      </c>
      <c r="AS72" s="259">
        <f t="shared" si="29"/>
        <v>64.568649925323882</v>
      </c>
      <c r="AT72" s="65">
        <v>1041639</v>
      </c>
      <c r="AU72" s="69">
        <f>AP72-AT72</f>
        <v>397911</v>
      </c>
      <c r="AV72" s="54">
        <f>(AU72/AP72)*100</f>
        <v>27.641346254037718</v>
      </c>
      <c r="AW72" s="55">
        <v>1439550</v>
      </c>
      <c r="AX72" s="223">
        <v>1439550</v>
      </c>
      <c r="AY72" s="69">
        <f t="shared" si="94"/>
        <v>1439550</v>
      </c>
      <c r="AZ72" s="69">
        <f t="shared" si="71"/>
        <v>1439550</v>
      </c>
      <c r="BA72" s="69">
        <f t="shared" si="83"/>
        <v>1439550</v>
      </c>
      <c r="BB72" s="501">
        <v>1439550</v>
      </c>
      <c r="BC72" s="501">
        <v>1617550</v>
      </c>
      <c r="BD72" s="501">
        <v>987289</v>
      </c>
      <c r="BE72" s="501">
        <v>1179812</v>
      </c>
      <c r="BF72" s="221">
        <v>1383704</v>
      </c>
      <c r="BG72" s="365">
        <f t="shared" si="74"/>
        <v>1660444.7999999998</v>
      </c>
      <c r="BH72" s="69">
        <v>1989200</v>
      </c>
      <c r="BI72" s="69">
        <v>3789200</v>
      </c>
      <c r="BJ72" s="65">
        <v>1128185</v>
      </c>
      <c r="BK72" s="65">
        <v>1595094</v>
      </c>
      <c r="BL72" s="69">
        <f t="shared" si="95"/>
        <v>1914112.7999999998</v>
      </c>
      <c r="BM72" s="69">
        <f>SUM(BM56:BM71)*0.27</f>
        <v>4482000</v>
      </c>
      <c r="BN72" s="69">
        <f>SUM(BN56:BN71)*0.27</f>
        <v>4482000</v>
      </c>
      <c r="BO72" s="55">
        <v>2413162</v>
      </c>
      <c r="BP72" s="65">
        <f t="shared" si="52"/>
        <v>2895794.4000000004</v>
      </c>
      <c r="BQ72" s="69">
        <f t="shared" si="75"/>
        <v>3185373.8400000008</v>
      </c>
      <c r="BR72" s="55">
        <v>3200000</v>
      </c>
      <c r="BS72" s="55">
        <v>3200000</v>
      </c>
      <c r="BT72" s="725">
        <f>SUM(BT56:BT71)*0.18</f>
        <v>2500200</v>
      </c>
      <c r="BU72" s="823">
        <v>2728800</v>
      </c>
      <c r="BV72" s="727">
        <v>3000000</v>
      </c>
    </row>
    <row r="73" spans="1:74" x14ac:dyDescent="0.25">
      <c r="A73" s="54" t="s">
        <v>237</v>
      </c>
      <c r="B73" s="446" t="s">
        <v>238</v>
      </c>
      <c r="C73" s="55">
        <v>0</v>
      </c>
      <c r="D73" s="55"/>
      <c r="E73" s="55"/>
      <c r="F73" s="56"/>
      <c r="G73" s="56"/>
      <c r="H73" s="56"/>
      <c r="I73" s="56">
        <f t="shared" si="1"/>
        <v>0</v>
      </c>
      <c r="J73" s="55"/>
      <c r="K73" s="55"/>
      <c r="L73" s="55"/>
      <c r="M73" s="1">
        <f t="shared" si="2"/>
        <v>0</v>
      </c>
      <c r="O73" s="55"/>
      <c r="P73" s="55"/>
      <c r="Q73" s="55"/>
      <c r="R73" s="55">
        <v>0</v>
      </c>
      <c r="S73" s="55"/>
      <c r="T73" s="55"/>
      <c r="U73" s="55"/>
      <c r="V73" s="55">
        <f t="shared" ref="V73:W73" si="99">U73</f>
        <v>0</v>
      </c>
      <c r="W73" s="55">
        <f t="shared" si="99"/>
        <v>0</v>
      </c>
      <c r="X73" s="122"/>
      <c r="Z73" s="140" t="e">
        <f t="shared" si="4"/>
        <v>#DIV/0!</v>
      </c>
      <c r="AA73" s="69">
        <f t="shared" si="25"/>
        <v>0</v>
      </c>
      <c r="AB73" s="55"/>
      <c r="AC73" s="60">
        <v>0</v>
      </c>
      <c r="AD73" s="60"/>
      <c r="AE73" s="123"/>
      <c r="AF73" s="65">
        <v>100000</v>
      </c>
      <c r="AG73" s="55"/>
      <c r="AH73" s="217">
        <f t="shared" si="93"/>
        <v>0</v>
      </c>
      <c r="AI73" s="261"/>
      <c r="AK73" s="55">
        <f t="shared" si="98"/>
        <v>0</v>
      </c>
      <c r="AM73" s="347"/>
      <c r="AN73" s="349">
        <v>100000</v>
      </c>
      <c r="AO73" s="354"/>
      <c r="AP73" s="65">
        <v>100000</v>
      </c>
      <c r="AQ73" s="65">
        <v>0</v>
      </c>
      <c r="AR73" s="65">
        <f t="shared" si="60"/>
        <v>100000</v>
      </c>
      <c r="AS73" s="259">
        <f t="shared" si="29"/>
        <v>0</v>
      </c>
      <c r="AT73" s="65"/>
      <c r="AU73" s="69">
        <f>AP73-AT73</f>
        <v>100000</v>
      </c>
      <c r="AV73" s="54">
        <f>(AU73/AP73)*100</f>
        <v>100</v>
      </c>
      <c r="AX73" s="223"/>
      <c r="AY73" s="69">
        <f t="shared" si="94"/>
        <v>0</v>
      </c>
      <c r="AZ73" s="69">
        <f t="shared" si="71"/>
        <v>0</v>
      </c>
      <c r="BA73" s="69">
        <f t="shared" si="83"/>
        <v>0</v>
      </c>
      <c r="BB73" s="501">
        <v>0</v>
      </c>
      <c r="BC73" s="501">
        <v>122000</v>
      </c>
      <c r="BD73" s="501">
        <v>22000</v>
      </c>
      <c r="BE73" s="501">
        <v>22000</v>
      </c>
      <c r="BF73" s="221">
        <v>22000</v>
      </c>
      <c r="BG73" s="365">
        <f t="shared" si="74"/>
        <v>26400</v>
      </c>
      <c r="BH73" s="69">
        <v>22000</v>
      </c>
      <c r="BI73" s="69">
        <v>1047000</v>
      </c>
      <c r="BJ73" s="65">
        <v>247000</v>
      </c>
      <c r="BK73" s="65">
        <v>247000</v>
      </c>
      <c r="BL73" s="69">
        <f t="shared" si="95"/>
        <v>296400</v>
      </c>
      <c r="BM73" s="69">
        <v>500000</v>
      </c>
      <c r="BN73" s="69">
        <v>500000</v>
      </c>
      <c r="BO73" s="55">
        <v>83000</v>
      </c>
      <c r="BP73" s="65">
        <f t="shared" si="52"/>
        <v>99600</v>
      </c>
      <c r="BQ73" s="69">
        <f t="shared" si="75"/>
        <v>109560.00000000001</v>
      </c>
      <c r="BR73" s="55"/>
      <c r="BS73" s="55"/>
      <c r="BT73" s="223"/>
      <c r="BU73" s="353">
        <v>255000</v>
      </c>
      <c r="BV73" s="727">
        <v>365000</v>
      </c>
    </row>
    <row r="74" spans="1:74" x14ac:dyDescent="0.25">
      <c r="A74" s="54" t="s">
        <v>52</v>
      </c>
      <c r="B74" s="58" t="s">
        <v>199</v>
      </c>
      <c r="C74" s="55">
        <v>0</v>
      </c>
      <c r="D74" s="55">
        <v>26156</v>
      </c>
      <c r="E74" s="55">
        <v>0</v>
      </c>
      <c r="F74" s="56"/>
      <c r="G74" s="56"/>
      <c r="H74" s="56"/>
      <c r="I74" s="56">
        <f t="shared" si="1"/>
        <v>0</v>
      </c>
      <c r="J74" s="55"/>
      <c r="K74" s="55"/>
      <c r="L74" s="55"/>
      <c r="M74" s="1">
        <f t="shared" si="2"/>
        <v>0</v>
      </c>
      <c r="O74" s="55"/>
      <c r="P74" s="55"/>
      <c r="Q74" s="55"/>
      <c r="R74" s="55">
        <v>0</v>
      </c>
      <c r="S74" s="55"/>
      <c r="T74" s="55"/>
      <c r="U74" s="55"/>
      <c r="V74" s="55">
        <f t="shared" ref="V74:W74" si="100">U74</f>
        <v>0</v>
      </c>
      <c r="W74" s="55">
        <f t="shared" si="100"/>
        <v>0</v>
      </c>
      <c r="X74" s="122"/>
      <c r="Z74" s="140" t="e">
        <f t="shared" si="4"/>
        <v>#DIV/0!</v>
      </c>
      <c r="AA74" s="69">
        <f t="shared" si="25"/>
        <v>0</v>
      </c>
      <c r="AB74" s="55"/>
      <c r="AC74" s="55"/>
      <c r="AD74" s="55"/>
      <c r="AE74" s="123"/>
      <c r="AF74" s="65"/>
      <c r="AG74" s="55"/>
      <c r="AH74" s="217">
        <f t="shared" si="93"/>
        <v>0</v>
      </c>
      <c r="AI74" s="261"/>
      <c r="AK74" s="55">
        <f t="shared" si="98"/>
        <v>0</v>
      </c>
      <c r="AM74" s="347"/>
      <c r="AN74" s="349"/>
      <c r="AO74" s="354"/>
      <c r="AP74" s="65">
        <v>0</v>
      </c>
      <c r="AQ74" s="65">
        <v>0</v>
      </c>
      <c r="AR74" s="65">
        <f t="shared" si="60"/>
        <v>0</v>
      </c>
      <c r="AS74" s="259"/>
      <c r="AT74" s="65"/>
      <c r="AU74" s="69"/>
      <c r="AX74" s="223"/>
      <c r="AY74" s="69">
        <f t="shared" si="94"/>
        <v>0</v>
      </c>
      <c r="AZ74" s="69">
        <f t="shared" si="71"/>
        <v>0</v>
      </c>
      <c r="BA74" s="69">
        <f t="shared" si="83"/>
        <v>0</v>
      </c>
      <c r="BB74" s="501"/>
      <c r="BE74" s="501"/>
      <c r="BF74" s="221"/>
      <c r="BG74" s="365">
        <f t="shared" si="74"/>
        <v>0</v>
      </c>
      <c r="BH74" s="69"/>
      <c r="BI74" s="69"/>
      <c r="BJ74" s="65"/>
      <c r="BK74" s="65"/>
      <c r="BL74" s="69"/>
      <c r="BM74" s="69"/>
      <c r="BN74" s="69"/>
      <c r="BO74" s="55"/>
      <c r="BP74" s="65">
        <f t="shared" si="52"/>
        <v>0</v>
      </c>
      <c r="BQ74" s="69">
        <f t="shared" si="75"/>
        <v>0</v>
      </c>
      <c r="BR74" s="55"/>
      <c r="BS74" s="55"/>
      <c r="BT74" s="223"/>
      <c r="BU74" s="353"/>
      <c r="BV74" s="727"/>
    </row>
    <row r="75" spans="1:74" x14ac:dyDescent="0.25">
      <c r="A75" s="54" t="s">
        <v>562</v>
      </c>
      <c r="B75" s="58" t="s">
        <v>563</v>
      </c>
      <c r="C75" s="55"/>
      <c r="D75" s="55"/>
      <c r="E75" s="55"/>
      <c r="F75" s="56"/>
      <c r="G75" s="56"/>
      <c r="H75" s="56"/>
      <c r="I75" s="56"/>
      <c r="J75" s="55"/>
      <c r="K75" s="55"/>
      <c r="L75" s="55"/>
      <c r="O75" s="55"/>
      <c r="P75" s="55"/>
      <c r="Q75" s="55"/>
      <c r="R75" s="55"/>
      <c r="S75" s="55"/>
      <c r="T75" s="55"/>
      <c r="U75" s="55"/>
      <c r="V75" s="55"/>
      <c r="W75" s="55"/>
      <c r="X75" s="122"/>
      <c r="Z75" s="140"/>
      <c r="AA75" s="69"/>
      <c r="AB75" s="55"/>
      <c r="AC75" s="55"/>
      <c r="AD75" s="55"/>
      <c r="AE75" s="123"/>
      <c r="AF75" s="65"/>
      <c r="AG75" s="55"/>
      <c r="AH75" s="217"/>
      <c r="AI75" s="261"/>
      <c r="AM75" s="347"/>
      <c r="AN75" s="349"/>
      <c r="AO75" s="354"/>
      <c r="AS75" s="259"/>
      <c r="AT75" s="65"/>
      <c r="AU75" s="69"/>
      <c r="AX75" s="223"/>
      <c r="AY75" s="69">
        <f t="shared" si="94"/>
        <v>0</v>
      </c>
      <c r="AZ75" s="69">
        <f t="shared" si="71"/>
        <v>0</v>
      </c>
      <c r="BA75" s="69">
        <f t="shared" si="83"/>
        <v>0</v>
      </c>
      <c r="BB75" s="501"/>
      <c r="BE75" s="501"/>
      <c r="BF75" s="221"/>
      <c r="BG75" s="365">
        <f t="shared" si="74"/>
        <v>0</v>
      </c>
      <c r="BH75" s="69"/>
      <c r="BI75" s="69"/>
      <c r="BJ75" s="65"/>
      <c r="BK75" s="65"/>
      <c r="BL75" s="69"/>
      <c r="BM75" s="69"/>
      <c r="BN75" s="69"/>
      <c r="BO75" s="55"/>
      <c r="BP75" s="65">
        <f t="shared" si="52"/>
        <v>0</v>
      </c>
      <c r="BQ75" s="69">
        <f t="shared" si="75"/>
        <v>0</v>
      </c>
      <c r="BR75" s="55"/>
      <c r="BS75" s="55"/>
      <c r="BT75" s="223"/>
      <c r="BU75" s="353"/>
      <c r="BV75" s="727"/>
    </row>
    <row r="76" spans="1:74" x14ac:dyDescent="0.25">
      <c r="A76" s="54" t="s">
        <v>53</v>
      </c>
      <c r="B76" s="446" t="s">
        <v>161</v>
      </c>
      <c r="C76" s="55">
        <v>210000</v>
      </c>
      <c r="D76" s="55">
        <v>0</v>
      </c>
      <c r="E76" s="55">
        <v>150000</v>
      </c>
      <c r="F76" s="56">
        <v>0</v>
      </c>
      <c r="G76" s="56"/>
      <c r="H76" s="56"/>
      <c r="I76" s="56">
        <f t="shared" si="1"/>
        <v>0</v>
      </c>
      <c r="J76" s="55"/>
      <c r="K76" s="55"/>
      <c r="L76" s="55"/>
      <c r="M76" s="1">
        <f t="shared" si="2"/>
        <v>0</v>
      </c>
      <c r="O76" s="55">
        <v>812353</v>
      </c>
      <c r="P76" s="55"/>
      <c r="Q76" s="55"/>
      <c r="R76" s="55">
        <v>0</v>
      </c>
      <c r="S76" s="55">
        <v>2000</v>
      </c>
      <c r="T76" s="55">
        <v>2000</v>
      </c>
      <c r="U76" s="55">
        <v>2000</v>
      </c>
      <c r="V76" s="55">
        <f t="shared" ref="V76:W76" si="101">U76</f>
        <v>2000</v>
      </c>
      <c r="W76" s="55">
        <f t="shared" si="101"/>
        <v>2000</v>
      </c>
      <c r="X76" s="122">
        <f t="shared" si="22"/>
        <v>100</v>
      </c>
      <c r="Z76" s="140">
        <f t="shared" si="4"/>
        <v>1</v>
      </c>
      <c r="AA76" s="69">
        <f t="shared" si="25"/>
        <v>2000</v>
      </c>
      <c r="AB76" s="55"/>
      <c r="AC76" s="60">
        <v>0</v>
      </c>
      <c r="AD76" s="60"/>
      <c r="AE76" s="123">
        <f>AD76/AA76*100</f>
        <v>0</v>
      </c>
      <c r="AF76" s="65">
        <v>2000</v>
      </c>
      <c r="AG76" s="55"/>
      <c r="AH76" s="217">
        <f t="shared" si="93"/>
        <v>0</v>
      </c>
      <c r="AI76" s="261"/>
      <c r="AK76" s="55">
        <f t="shared" si="98"/>
        <v>0</v>
      </c>
      <c r="AM76" s="347"/>
      <c r="AN76" s="349"/>
      <c r="AO76" s="354"/>
      <c r="AR76" s="65">
        <f t="shared" si="60"/>
        <v>0</v>
      </c>
      <c r="AS76" s="259"/>
      <c r="AT76" s="65"/>
      <c r="AU76" s="69"/>
      <c r="AX76" s="223"/>
      <c r="AY76" s="69">
        <f t="shared" si="94"/>
        <v>0</v>
      </c>
      <c r="AZ76" s="69">
        <f t="shared" si="71"/>
        <v>0</v>
      </c>
      <c r="BA76" s="69">
        <f t="shared" si="83"/>
        <v>0</v>
      </c>
      <c r="BB76" s="501"/>
      <c r="BE76" s="501"/>
      <c r="BF76" s="221"/>
      <c r="BG76" s="365">
        <f t="shared" si="74"/>
        <v>0</v>
      </c>
      <c r="BH76" s="69"/>
      <c r="BI76" s="69"/>
      <c r="BJ76" s="65"/>
      <c r="BK76" s="65"/>
      <c r="BL76" s="69"/>
      <c r="BM76" s="69"/>
      <c r="BN76" s="69"/>
      <c r="BO76" s="55">
        <v>60598</v>
      </c>
      <c r="BP76" s="65">
        <f t="shared" si="52"/>
        <v>72717.600000000006</v>
      </c>
      <c r="BQ76" s="69">
        <f t="shared" si="75"/>
        <v>79989.360000000015</v>
      </c>
      <c r="BR76" s="55">
        <v>80000</v>
      </c>
      <c r="BS76" s="55">
        <v>80000</v>
      </c>
      <c r="BT76" s="223">
        <v>80000</v>
      </c>
      <c r="BU76" s="353">
        <v>70000</v>
      </c>
      <c r="BV76" s="727">
        <v>10000</v>
      </c>
    </row>
    <row r="77" spans="1:74" x14ac:dyDescent="0.25">
      <c r="A77" s="54" t="s">
        <v>54</v>
      </c>
      <c r="B77" s="58" t="s">
        <v>200</v>
      </c>
      <c r="C77" s="55">
        <v>0</v>
      </c>
      <c r="D77" s="55">
        <v>0</v>
      </c>
      <c r="E77" s="55">
        <v>0</v>
      </c>
      <c r="F77" s="56"/>
      <c r="G77" s="56"/>
      <c r="H77" s="56"/>
      <c r="I77" s="56">
        <f t="shared" si="1"/>
        <v>0</v>
      </c>
      <c r="J77" s="55"/>
      <c r="K77" s="55"/>
      <c r="L77" s="55"/>
      <c r="M77" s="1">
        <f t="shared" si="2"/>
        <v>0</v>
      </c>
      <c r="O77" s="55"/>
      <c r="P77" s="55"/>
      <c r="Q77" s="55"/>
      <c r="R77" s="55">
        <v>0</v>
      </c>
      <c r="S77" s="55"/>
      <c r="T77" s="55"/>
      <c r="U77" s="55"/>
      <c r="V77" s="55">
        <f t="shared" ref="V77:W77" si="102">U77</f>
        <v>0</v>
      </c>
      <c r="W77" s="55">
        <f t="shared" si="102"/>
        <v>0</v>
      </c>
      <c r="X77" s="122"/>
      <c r="Z77" s="140" t="e">
        <f t="shared" ref="Z77:Z101" si="103">W77/T77</f>
        <v>#DIV/0!</v>
      </c>
      <c r="AA77" s="69">
        <f t="shared" si="25"/>
        <v>0</v>
      </c>
      <c r="AB77" s="55"/>
      <c r="AC77" s="55"/>
      <c r="AD77" s="55"/>
      <c r="AE77" s="123"/>
      <c r="AF77" s="65"/>
      <c r="AG77" s="55"/>
      <c r="AH77" s="217">
        <f t="shared" si="93"/>
        <v>0</v>
      </c>
      <c r="AI77" s="261"/>
      <c r="AK77" s="55">
        <f t="shared" si="98"/>
        <v>0</v>
      </c>
      <c r="AM77" s="347"/>
      <c r="AN77" s="349"/>
      <c r="AO77" s="354"/>
      <c r="AR77" s="65">
        <f t="shared" si="60"/>
        <v>0</v>
      </c>
      <c r="AS77" s="259"/>
      <c r="AT77" s="65"/>
      <c r="AU77" s="69"/>
      <c r="AX77" s="223"/>
      <c r="AY77" s="69">
        <f t="shared" si="94"/>
        <v>0</v>
      </c>
      <c r="AZ77" s="69">
        <f t="shared" si="71"/>
        <v>0</v>
      </c>
      <c r="BA77" s="69">
        <f t="shared" si="83"/>
        <v>0</v>
      </c>
      <c r="BB77" s="501"/>
      <c r="BE77" s="501"/>
      <c r="BF77" s="221"/>
      <c r="BG77" s="365">
        <f t="shared" si="74"/>
        <v>0</v>
      </c>
      <c r="BH77" s="69"/>
      <c r="BI77" s="69"/>
      <c r="BJ77" s="65"/>
      <c r="BK77" s="65"/>
      <c r="BL77" s="69"/>
      <c r="BM77" s="69"/>
      <c r="BN77" s="69"/>
      <c r="BO77" s="55"/>
      <c r="BP77" s="65"/>
      <c r="BQ77" s="69">
        <f t="shared" si="75"/>
        <v>0</v>
      </c>
      <c r="BR77" s="55"/>
      <c r="BS77" s="55"/>
      <c r="BT77" s="223"/>
      <c r="BU77" s="353"/>
      <c r="BV77" s="727"/>
    </row>
    <row r="78" spans="1:74" x14ac:dyDescent="0.25">
      <c r="A78" s="54" t="s">
        <v>55</v>
      </c>
      <c r="B78" s="58" t="s">
        <v>201</v>
      </c>
      <c r="C78" s="55">
        <v>0</v>
      </c>
      <c r="D78" s="55">
        <v>0</v>
      </c>
      <c r="E78" s="55">
        <v>0</v>
      </c>
      <c r="F78" s="56"/>
      <c r="G78" s="56"/>
      <c r="H78" s="56"/>
      <c r="I78" s="56">
        <f t="shared" ref="I78:I108" si="104">H78/11+H78</f>
        <v>0</v>
      </c>
      <c r="J78" s="55"/>
      <c r="K78" s="55"/>
      <c r="L78" s="55"/>
      <c r="M78" s="1">
        <f t="shared" ref="M78:M108" si="105">IF(I78&lt;&gt;0,L78/I78*100,0)</f>
        <v>0</v>
      </c>
      <c r="O78" s="55"/>
      <c r="P78" s="55"/>
      <c r="Q78" s="55"/>
      <c r="R78" s="55">
        <v>0</v>
      </c>
      <c r="S78" s="55"/>
      <c r="T78" s="55"/>
      <c r="U78" s="55"/>
      <c r="V78" s="55">
        <f t="shared" ref="V78:W78" si="106">U78</f>
        <v>0</v>
      </c>
      <c r="W78" s="55">
        <f t="shared" si="106"/>
        <v>0</v>
      </c>
      <c r="X78" s="122"/>
      <c r="Z78" s="140" t="e">
        <f t="shared" si="103"/>
        <v>#DIV/0!</v>
      </c>
      <c r="AA78" s="69">
        <f t="shared" si="25"/>
        <v>0</v>
      </c>
      <c r="AB78" s="55"/>
      <c r="AC78" s="55"/>
      <c r="AD78" s="55"/>
      <c r="AE78" s="123"/>
      <c r="AF78" s="65"/>
      <c r="AG78" s="55"/>
      <c r="AH78" s="217">
        <f t="shared" si="93"/>
        <v>0</v>
      </c>
      <c r="AI78" s="261"/>
      <c r="AK78" s="55">
        <f t="shared" si="98"/>
        <v>0</v>
      </c>
      <c r="AM78" s="347"/>
      <c r="AN78" s="349"/>
      <c r="AO78" s="354"/>
      <c r="AR78" s="65">
        <f t="shared" si="60"/>
        <v>0</v>
      </c>
      <c r="AS78" s="259"/>
      <c r="AT78" s="65"/>
      <c r="AU78" s="69"/>
      <c r="AX78" s="223"/>
      <c r="AY78" s="69">
        <f t="shared" si="94"/>
        <v>0</v>
      </c>
      <c r="AZ78" s="69">
        <f t="shared" si="71"/>
        <v>0</v>
      </c>
      <c r="BA78" s="69">
        <f t="shared" si="83"/>
        <v>0</v>
      </c>
      <c r="BB78" s="501"/>
      <c r="BE78" s="501"/>
      <c r="BF78" s="221"/>
      <c r="BG78" s="365">
        <f t="shared" si="74"/>
        <v>0</v>
      </c>
      <c r="BH78" s="69"/>
      <c r="BI78" s="69"/>
      <c r="BJ78" s="65"/>
      <c r="BK78" s="65"/>
      <c r="BL78" s="69"/>
      <c r="BM78" s="69"/>
      <c r="BN78" s="69"/>
      <c r="BO78" s="55"/>
      <c r="BP78" s="65"/>
      <c r="BQ78" s="69">
        <f t="shared" si="75"/>
        <v>0</v>
      </c>
      <c r="BR78" s="55"/>
      <c r="BS78" s="55"/>
      <c r="BT78" s="223"/>
      <c r="BU78" s="353"/>
      <c r="BV78" s="727"/>
    </row>
    <row r="79" spans="1:74" x14ac:dyDescent="0.25">
      <c r="A79" s="54" t="s">
        <v>56</v>
      </c>
      <c r="B79" s="58" t="s">
        <v>202</v>
      </c>
      <c r="C79" s="55">
        <v>0</v>
      </c>
      <c r="D79" s="55">
        <v>0</v>
      </c>
      <c r="E79" s="55">
        <v>0</v>
      </c>
      <c r="F79" s="56"/>
      <c r="G79" s="56"/>
      <c r="H79" s="56"/>
      <c r="I79" s="56">
        <f t="shared" si="104"/>
        <v>0</v>
      </c>
      <c r="J79" s="55"/>
      <c r="K79" s="55"/>
      <c r="L79" s="55"/>
      <c r="M79" s="1">
        <f t="shared" si="105"/>
        <v>0</v>
      </c>
      <c r="O79" s="55"/>
      <c r="P79" s="55"/>
      <c r="Q79" s="55"/>
      <c r="R79" s="55">
        <v>0</v>
      </c>
      <c r="S79" s="55"/>
      <c r="T79" s="55"/>
      <c r="U79" s="55"/>
      <c r="V79" s="55">
        <f t="shared" ref="V79:W79" si="107">U79</f>
        <v>0</v>
      </c>
      <c r="W79" s="55">
        <f t="shared" si="107"/>
        <v>0</v>
      </c>
      <c r="X79" s="122"/>
      <c r="Z79" s="140" t="e">
        <f t="shared" si="103"/>
        <v>#DIV/0!</v>
      </c>
      <c r="AA79" s="69">
        <f t="shared" si="25"/>
        <v>0</v>
      </c>
      <c r="AB79" s="55"/>
      <c r="AC79" s="55"/>
      <c r="AD79" s="55"/>
      <c r="AE79" s="123"/>
      <c r="AF79" s="65"/>
      <c r="AG79" s="55"/>
      <c r="AH79" s="217">
        <f t="shared" si="93"/>
        <v>0</v>
      </c>
      <c r="AI79" s="261"/>
      <c r="AK79" s="55">
        <f t="shared" si="98"/>
        <v>0</v>
      </c>
      <c r="AM79" s="347"/>
      <c r="AN79" s="349"/>
      <c r="AO79" s="354"/>
      <c r="AR79" s="65">
        <f t="shared" si="60"/>
        <v>0</v>
      </c>
      <c r="AS79" s="259"/>
      <c r="AU79" s="69"/>
      <c r="AX79" s="223"/>
      <c r="AY79" s="69">
        <f t="shared" si="94"/>
        <v>0</v>
      </c>
      <c r="AZ79" s="69">
        <f t="shared" si="71"/>
        <v>0</v>
      </c>
      <c r="BA79" s="69">
        <f t="shared" si="83"/>
        <v>0</v>
      </c>
      <c r="BB79" s="501"/>
      <c r="BE79" s="501"/>
      <c r="BF79" s="221"/>
      <c r="BG79" s="365">
        <f t="shared" si="74"/>
        <v>0</v>
      </c>
      <c r="BH79" s="69"/>
      <c r="BI79" s="69"/>
      <c r="BJ79" s="65"/>
      <c r="BK79" s="65"/>
      <c r="BL79" s="69"/>
      <c r="BM79" s="69"/>
      <c r="BN79" s="69"/>
      <c r="BO79" s="55"/>
      <c r="BP79" s="65"/>
      <c r="BQ79" s="69">
        <f t="shared" si="75"/>
        <v>0</v>
      </c>
      <c r="BR79" s="55"/>
      <c r="BS79" s="55"/>
      <c r="BT79" s="223"/>
      <c r="BU79" s="353"/>
      <c r="BV79" s="727"/>
    </row>
    <row r="80" spans="1:74" x14ac:dyDescent="0.25">
      <c r="A80" s="54" t="s">
        <v>57</v>
      </c>
      <c r="B80" s="58" t="s">
        <v>203</v>
      </c>
      <c r="C80" s="55">
        <v>0</v>
      </c>
      <c r="D80" s="55">
        <v>0</v>
      </c>
      <c r="E80" s="55">
        <v>0</v>
      </c>
      <c r="F80" s="56"/>
      <c r="G80" s="56"/>
      <c r="H80" s="56"/>
      <c r="I80" s="56">
        <f t="shared" si="104"/>
        <v>0</v>
      </c>
      <c r="J80" s="55"/>
      <c r="K80" s="55"/>
      <c r="L80" s="55"/>
      <c r="M80" s="1">
        <f t="shared" si="105"/>
        <v>0</v>
      </c>
      <c r="O80" s="55"/>
      <c r="P80" s="55"/>
      <c r="Q80" s="55"/>
      <c r="R80" s="55">
        <v>0</v>
      </c>
      <c r="S80" s="55"/>
      <c r="T80" s="55"/>
      <c r="U80" s="55"/>
      <c r="V80" s="55">
        <f t="shared" ref="V80:W80" si="108">U80</f>
        <v>0</v>
      </c>
      <c r="W80" s="55">
        <f t="shared" si="108"/>
        <v>0</v>
      </c>
      <c r="X80" s="122"/>
      <c r="Z80" s="140" t="e">
        <f t="shared" si="103"/>
        <v>#DIV/0!</v>
      </c>
      <c r="AA80" s="69">
        <f t="shared" si="25"/>
        <v>0</v>
      </c>
      <c r="AB80" s="55"/>
      <c r="AC80" s="55"/>
      <c r="AD80" s="55"/>
      <c r="AE80" s="123"/>
      <c r="AF80" s="65"/>
      <c r="AG80" s="55"/>
      <c r="AH80" s="217">
        <f t="shared" si="93"/>
        <v>0</v>
      </c>
      <c r="AI80" s="261"/>
      <c r="AK80" s="55">
        <f t="shared" si="98"/>
        <v>0</v>
      </c>
      <c r="AM80" s="347"/>
      <c r="AN80" s="349"/>
      <c r="AO80" s="354"/>
      <c r="AR80" s="65">
        <f t="shared" si="60"/>
        <v>0</v>
      </c>
      <c r="AS80" s="259"/>
      <c r="AU80" s="69"/>
      <c r="AX80" s="223"/>
      <c r="AY80" s="69">
        <f t="shared" si="94"/>
        <v>0</v>
      </c>
      <c r="AZ80" s="69">
        <f t="shared" si="71"/>
        <v>0</v>
      </c>
      <c r="BA80" s="69">
        <f t="shared" si="83"/>
        <v>0</v>
      </c>
      <c r="BB80" s="501"/>
      <c r="BE80" s="501"/>
      <c r="BF80" s="221"/>
      <c r="BG80" s="365">
        <f t="shared" si="74"/>
        <v>0</v>
      </c>
      <c r="BH80" s="69"/>
      <c r="BI80" s="69"/>
      <c r="BJ80" s="65"/>
      <c r="BK80" s="65"/>
      <c r="BL80" s="69"/>
      <c r="BM80" s="69"/>
      <c r="BN80" s="69"/>
      <c r="BO80" s="55"/>
      <c r="BP80" s="65"/>
      <c r="BQ80" s="69">
        <f t="shared" si="75"/>
        <v>0</v>
      </c>
      <c r="BR80" s="55"/>
      <c r="BS80" s="55"/>
      <c r="BT80" s="223"/>
      <c r="BU80" s="353"/>
      <c r="BV80" s="727"/>
    </row>
    <row r="81" spans="1:74" x14ac:dyDescent="0.25">
      <c r="A81" s="54" t="s">
        <v>58</v>
      </c>
      <c r="B81" s="446" t="s">
        <v>162</v>
      </c>
      <c r="C81" s="55">
        <v>0</v>
      </c>
      <c r="D81" s="55">
        <v>0</v>
      </c>
      <c r="E81" s="55">
        <v>0</v>
      </c>
      <c r="F81" s="56"/>
      <c r="G81" s="56"/>
      <c r="H81" s="56"/>
      <c r="I81" s="56">
        <f t="shared" si="104"/>
        <v>0</v>
      </c>
      <c r="J81" s="55"/>
      <c r="K81" s="55"/>
      <c r="L81" s="55"/>
      <c r="M81" s="1">
        <f t="shared" si="105"/>
        <v>0</v>
      </c>
      <c r="O81" s="55"/>
      <c r="P81" s="55"/>
      <c r="Q81" s="55"/>
      <c r="R81" s="55">
        <v>0</v>
      </c>
      <c r="S81" s="55"/>
      <c r="T81" s="55"/>
      <c r="U81" s="55"/>
      <c r="V81" s="55">
        <f t="shared" ref="V81:W81" si="109">U81</f>
        <v>0</v>
      </c>
      <c r="W81" s="55">
        <f t="shared" si="109"/>
        <v>0</v>
      </c>
      <c r="X81" s="122"/>
      <c r="Z81" s="140" t="e">
        <f t="shared" si="103"/>
        <v>#DIV/0!</v>
      </c>
      <c r="AA81" s="69">
        <f t="shared" si="25"/>
        <v>0</v>
      </c>
      <c r="AB81" s="55"/>
      <c r="AC81" s="55"/>
      <c r="AD81" s="55"/>
      <c r="AE81" s="123"/>
      <c r="AF81" s="65"/>
      <c r="AG81" s="55"/>
      <c r="AH81" s="217">
        <f t="shared" si="93"/>
        <v>0</v>
      </c>
      <c r="AI81" s="261"/>
      <c r="AK81" s="55">
        <f t="shared" si="98"/>
        <v>0</v>
      </c>
      <c r="AM81" s="347"/>
      <c r="AN81" s="349"/>
      <c r="AO81" s="354"/>
      <c r="AR81" s="65">
        <f t="shared" si="60"/>
        <v>0</v>
      </c>
      <c r="AS81" s="259"/>
      <c r="AU81" s="69"/>
      <c r="AX81" s="223"/>
      <c r="AY81" s="69">
        <f t="shared" si="94"/>
        <v>0</v>
      </c>
      <c r="AZ81" s="69">
        <f t="shared" si="71"/>
        <v>0</v>
      </c>
      <c r="BA81" s="69">
        <f t="shared" si="83"/>
        <v>0</v>
      </c>
      <c r="BB81" s="501"/>
      <c r="BE81" s="501"/>
      <c r="BF81" s="221"/>
      <c r="BG81" s="365">
        <f t="shared" si="74"/>
        <v>0</v>
      </c>
      <c r="BH81" s="69"/>
      <c r="BI81" s="69"/>
      <c r="BJ81" s="65"/>
      <c r="BK81" s="65"/>
      <c r="BL81" s="69"/>
      <c r="BM81" s="69"/>
      <c r="BN81" s="69"/>
      <c r="BO81" s="55"/>
      <c r="BP81" s="65"/>
      <c r="BQ81" s="69">
        <f t="shared" si="75"/>
        <v>0</v>
      </c>
      <c r="BR81" s="55"/>
      <c r="BS81" s="55"/>
      <c r="BT81" s="223"/>
      <c r="BU81" s="353"/>
      <c r="BV81" s="727"/>
    </row>
    <row r="82" spans="1:74" x14ac:dyDescent="0.25">
      <c r="A82" s="54" t="s">
        <v>59</v>
      </c>
      <c r="B82" s="446" t="s">
        <v>163</v>
      </c>
      <c r="C82" s="55">
        <v>0</v>
      </c>
      <c r="D82" s="55">
        <v>0</v>
      </c>
      <c r="E82" s="55">
        <v>0</v>
      </c>
      <c r="F82" s="56"/>
      <c r="G82" s="56"/>
      <c r="H82" s="56"/>
      <c r="I82" s="56">
        <f t="shared" si="104"/>
        <v>0</v>
      </c>
      <c r="J82" s="55"/>
      <c r="K82" s="55"/>
      <c r="L82" s="55"/>
      <c r="M82" s="1">
        <f t="shared" si="105"/>
        <v>0</v>
      </c>
      <c r="O82" s="55"/>
      <c r="P82" s="55"/>
      <c r="Q82" s="55"/>
      <c r="R82" s="55">
        <v>0</v>
      </c>
      <c r="S82" s="55"/>
      <c r="T82" s="55"/>
      <c r="U82" s="55"/>
      <c r="V82" s="55">
        <f t="shared" ref="V82:W82" si="110">U82</f>
        <v>0</v>
      </c>
      <c r="W82" s="55">
        <f t="shared" si="110"/>
        <v>0</v>
      </c>
      <c r="X82" s="122"/>
      <c r="Z82" s="140" t="e">
        <f t="shared" si="103"/>
        <v>#DIV/0!</v>
      </c>
      <c r="AA82" s="69">
        <f t="shared" si="25"/>
        <v>0</v>
      </c>
      <c r="AB82" s="55"/>
      <c r="AC82" s="55"/>
      <c r="AD82" s="55"/>
      <c r="AE82" s="123"/>
      <c r="AF82" s="65"/>
      <c r="AG82" s="55"/>
      <c r="AH82" s="217">
        <f t="shared" si="93"/>
        <v>0</v>
      </c>
      <c r="AI82" s="261"/>
      <c r="AK82" s="55">
        <f t="shared" si="98"/>
        <v>0</v>
      </c>
      <c r="AM82" s="347"/>
      <c r="AN82" s="349"/>
      <c r="AO82" s="354"/>
      <c r="AR82" s="65">
        <f t="shared" si="60"/>
        <v>0</v>
      </c>
      <c r="AS82" s="259"/>
      <c r="AU82" s="69"/>
      <c r="AX82" s="223"/>
      <c r="AY82" s="69">
        <f t="shared" si="94"/>
        <v>0</v>
      </c>
      <c r="AZ82" s="69">
        <f t="shared" si="71"/>
        <v>0</v>
      </c>
      <c r="BA82" s="69">
        <f t="shared" si="83"/>
        <v>0</v>
      </c>
      <c r="BB82" s="501"/>
      <c r="BE82" s="501"/>
      <c r="BF82" s="221"/>
      <c r="BG82" s="365">
        <f t="shared" si="74"/>
        <v>0</v>
      </c>
      <c r="BH82" s="69"/>
      <c r="BI82" s="69"/>
      <c r="BJ82" s="65"/>
      <c r="BK82" s="65"/>
      <c r="BL82" s="69"/>
      <c r="BM82" s="69"/>
      <c r="BN82" s="69"/>
      <c r="BO82" s="55"/>
      <c r="BP82" s="65"/>
      <c r="BQ82" s="69">
        <f t="shared" si="75"/>
        <v>0</v>
      </c>
      <c r="BR82" s="55"/>
      <c r="BS82" s="55"/>
      <c r="BT82" s="223"/>
      <c r="BU82" s="353"/>
      <c r="BV82" s="727"/>
    </row>
    <row r="83" spans="1:74" x14ac:dyDescent="0.25">
      <c r="A83" s="54" t="s">
        <v>259</v>
      </c>
      <c r="B83" s="446" t="s">
        <v>260</v>
      </c>
      <c r="C83" s="55">
        <v>0</v>
      </c>
      <c r="D83" s="55">
        <v>0</v>
      </c>
      <c r="E83" s="55"/>
      <c r="F83" s="56"/>
      <c r="G83" s="56"/>
      <c r="H83" s="56"/>
      <c r="I83" s="56">
        <f t="shared" si="104"/>
        <v>0</v>
      </c>
      <c r="J83" s="55"/>
      <c r="K83" s="55"/>
      <c r="L83" s="55"/>
      <c r="M83" s="1">
        <f t="shared" si="105"/>
        <v>0</v>
      </c>
      <c r="O83" s="55"/>
      <c r="P83" s="55"/>
      <c r="Q83" s="55"/>
      <c r="R83" s="55">
        <v>0</v>
      </c>
      <c r="S83" s="55"/>
      <c r="T83" s="55"/>
      <c r="U83" s="55"/>
      <c r="V83" s="55">
        <f t="shared" ref="V83:W83" si="111">U83</f>
        <v>0</v>
      </c>
      <c r="W83" s="55">
        <f t="shared" si="111"/>
        <v>0</v>
      </c>
      <c r="X83" s="122"/>
      <c r="Z83" s="140" t="e">
        <f t="shared" si="103"/>
        <v>#DIV/0!</v>
      </c>
      <c r="AA83" s="69">
        <f t="shared" si="25"/>
        <v>0</v>
      </c>
      <c r="AB83" s="55"/>
      <c r="AC83" s="55"/>
      <c r="AD83" s="55"/>
      <c r="AE83" s="123"/>
      <c r="AF83" s="65"/>
      <c r="AG83" s="55"/>
      <c r="AH83" s="217">
        <f t="shared" si="93"/>
        <v>0</v>
      </c>
      <c r="AI83" s="261"/>
      <c r="AK83" s="55">
        <f t="shared" si="98"/>
        <v>0</v>
      </c>
      <c r="AM83" s="347"/>
      <c r="AN83" s="349"/>
      <c r="AO83" s="354"/>
      <c r="AR83" s="65">
        <f t="shared" si="60"/>
        <v>0</v>
      </c>
      <c r="AS83" s="259"/>
      <c r="AU83" s="69"/>
      <c r="AX83" s="223"/>
      <c r="AY83" s="69">
        <f t="shared" si="94"/>
        <v>0</v>
      </c>
      <c r="AZ83" s="69">
        <f t="shared" si="71"/>
        <v>0</v>
      </c>
      <c r="BA83" s="69">
        <f t="shared" si="83"/>
        <v>0</v>
      </c>
      <c r="BB83" s="501"/>
      <c r="BE83" s="501"/>
      <c r="BF83" s="221"/>
      <c r="BG83" s="365">
        <f t="shared" si="74"/>
        <v>0</v>
      </c>
      <c r="BH83" s="69"/>
      <c r="BI83" s="69"/>
      <c r="BJ83" s="65"/>
      <c r="BK83" s="65"/>
      <c r="BL83" s="69"/>
      <c r="BM83" s="69"/>
      <c r="BN83" s="69"/>
      <c r="BO83" s="55"/>
      <c r="BP83" s="65"/>
      <c r="BQ83" s="69">
        <f t="shared" si="75"/>
        <v>0</v>
      </c>
      <c r="BR83" s="55"/>
      <c r="BS83" s="55"/>
      <c r="BT83" s="223"/>
      <c r="BU83" s="353"/>
      <c r="BV83" s="727"/>
    </row>
    <row r="84" spans="1:74" x14ac:dyDescent="0.25">
      <c r="A84" s="54" t="s">
        <v>60</v>
      </c>
      <c r="B84" s="446" t="s">
        <v>164</v>
      </c>
      <c r="C84" s="55">
        <v>0</v>
      </c>
      <c r="D84" s="55">
        <v>0</v>
      </c>
      <c r="E84" s="55">
        <v>0</v>
      </c>
      <c r="F84" s="56"/>
      <c r="G84" s="56"/>
      <c r="H84" s="56"/>
      <c r="I84" s="56">
        <f t="shared" si="104"/>
        <v>0</v>
      </c>
      <c r="J84" s="55"/>
      <c r="K84" s="55"/>
      <c r="L84" s="55"/>
      <c r="M84" s="1">
        <f t="shared" si="105"/>
        <v>0</v>
      </c>
      <c r="O84" s="55"/>
      <c r="P84" s="55"/>
      <c r="Q84" s="55"/>
      <c r="R84" s="55">
        <v>0</v>
      </c>
      <c r="S84" s="55"/>
      <c r="T84" s="55"/>
      <c r="U84" s="55"/>
      <c r="V84" s="55">
        <f t="shared" ref="V84:W84" si="112">U84</f>
        <v>0</v>
      </c>
      <c r="W84" s="55">
        <f t="shared" si="112"/>
        <v>0</v>
      </c>
      <c r="X84" s="122"/>
      <c r="Z84" s="140" t="e">
        <f t="shared" si="103"/>
        <v>#DIV/0!</v>
      </c>
      <c r="AA84" s="69">
        <f t="shared" si="25"/>
        <v>0</v>
      </c>
      <c r="AB84" s="55"/>
      <c r="AC84" s="55"/>
      <c r="AD84" s="55"/>
      <c r="AE84" s="123"/>
      <c r="AF84" s="65"/>
      <c r="AG84" s="55"/>
      <c r="AH84" s="217">
        <f t="shared" si="93"/>
        <v>0</v>
      </c>
      <c r="AI84" s="261"/>
      <c r="AK84" s="55">
        <f t="shared" si="98"/>
        <v>0</v>
      </c>
      <c r="AM84" s="347"/>
      <c r="AN84" s="349"/>
      <c r="AO84" s="354"/>
      <c r="AR84" s="65">
        <f t="shared" si="60"/>
        <v>0</v>
      </c>
      <c r="AS84" s="259"/>
      <c r="AU84" s="69"/>
      <c r="AX84" s="223"/>
      <c r="AY84" s="69">
        <f t="shared" si="94"/>
        <v>0</v>
      </c>
      <c r="AZ84" s="69">
        <f t="shared" si="71"/>
        <v>0</v>
      </c>
      <c r="BA84" s="69">
        <f t="shared" si="83"/>
        <v>0</v>
      </c>
      <c r="BB84" s="501"/>
      <c r="BE84" s="501"/>
      <c r="BF84" s="221"/>
      <c r="BG84" s="365">
        <f t="shared" si="74"/>
        <v>0</v>
      </c>
      <c r="BH84" s="69"/>
      <c r="BI84" s="69"/>
      <c r="BJ84" s="65"/>
      <c r="BK84" s="65"/>
      <c r="BL84" s="69"/>
      <c r="BM84" s="69"/>
      <c r="BN84" s="69"/>
      <c r="BO84" s="55"/>
      <c r="BP84" s="65"/>
      <c r="BQ84" s="69">
        <f t="shared" si="75"/>
        <v>0</v>
      </c>
      <c r="BR84" s="55"/>
      <c r="BS84" s="55"/>
      <c r="BT84" s="223"/>
      <c r="BU84" s="353"/>
      <c r="BV84" s="727"/>
    </row>
    <row r="85" spans="1:74" x14ac:dyDescent="0.25">
      <c r="A85" s="54" t="s">
        <v>61</v>
      </c>
      <c r="B85" s="446" t="s">
        <v>165</v>
      </c>
      <c r="C85" s="55">
        <v>0</v>
      </c>
      <c r="D85" s="55">
        <v>0</v>
      </c>
      <c r="E85" s="55">
        <v>0</v>
      </c>
      <c r="F85" s="56"/>
      <c r="G85" s="56"/>
      <c r="H85" s="56"/>
      <c r="I85" s="56">
        <f t="shared" si="104"/>
        <v>0</v>
      </c>
      <c r="J85" s="55"/>
      <c r="K85" s="55"/>
      <c r="L85" s="55"/>
      <c r="M85" s="1">
        <f t="shared" si="105"/>
        <v>0</v>
      </c>
      <c r="O85" s="55"/>
      <c r="P85" s="55"/>
      <c r="Q85" s="55"/>
      <c r="R85" s="55">
        <v>0</v>
      </c>
      <c r="S85" s="55"/>
      <c r="T85" s="55"/>
      <c r="U85" s="55"/>
      <c r="V85" s="55">
        <f t="shared" ref="V85:W85" si="113">U85</f>
        <v>0</v>
      </c>
      <c r="W85" s="55">
        <f t="shared" si="113"/>
        <v>0</v>
      </c>
      <c r="X85" s="122"/>
      <c r="Z85" s="140" t="e">
        <f t="shared" si="103"/>
        <v>#DIV/0!</v>
      </c>
      <c r="AA85" s="69">
        <f t="shared" si="25"/>
        <v>0</v>
      </c>
      <c r="AB85" s="55"/>
      <c r="AC85" s="55"/>
      <c r="AD85" s="55"/>
      <c r="AE85" s="123"/>
      <c r="AF85" s="65"/>
      <c r="AG85" s="55"/>
      <c r="AH85" s="217">
        <f t="shared" si="93"/>
        <v>0</v>
      </c>
      <c r="AI85" s="261"/>
      <c r="AK85" s="55">
        <f t="shared" si="98"/>
        <v>0</v>
      </c>
      <c r="AM85" s="347"/>
      <c r="AN85" s="349"/>
      <c r="AO85" s="354"/>
      <c r="AR85" s="65">
        <f t="shared" si="60"/>
        <v>0</v>
      </c>
      <c r="AS85" s="259"/>
      <c r="AU85" s="69"/>
      <c r="AX85" s="223"/>
      <c r="AY85" s="69">
        <f t="shared" si="94"/>
        <v>0</v>
      </c>
      <c r="AZ85" s="69">
        <f t="shared" si="71"/>
        <v>0</v>
      </c>
      <c r="BA85" s="69">
        <f t="shared" si="83"/>
        <v>0</v>
      </c>
      <c r="BB85" s="501"/>
      <c r="BE85" s="501"/>
      <c r="BF85" s="221"/>
      <c r="BG85" s="365">
        <f t="shared" si="74"/>
        <v>0</v>
      </c>
      <c r="BH85" s="69"/>
      <c r="BI85" s="69"/>
      <c r="BJ85" s="65"/>
      <c r="BK85" s="65"/>
      <c r="BL85" s="69"/>
      <c r="BM85" s="69"/>
      <c r="BN85" s="69"/>
      <c r="BO85" s="55"/>
      <c r="BP85" s="65"/>
      <c r="BQ85" s="69">
        <f t="shared" si="75"/>
        <v>0</v>
      </c>
      <c r="BR85" s="55"/>
      <c r="BS85" s="55"/>
      <c r="BT85" s="223"/>
      <c r="BU85" s="353"/>
      <c r="BV85" s="727"/>
    </row>
    <row r="86" spans="1:74" x14ac:dyDescent="0.25">
      <c r="A86" s="54" t="s">
        <v>62</v>
      </c>
      <c r="B86" s="446" t="s">
        <v>166</v>
      </c>
      <c r="C86" s="55">
        <v>0</v>
      </c>
      <c r="D86" s="55">
        <v>0</v>
      </c>
      <c r="E86" s="55">
        <v>0</v>
      </c>
      <c r="F86" s="56"/>
      <c r="G86" s="56"/>
      <c r="H86" s="56"/>
      <c r="I86" s="56">
        <f t="shared" si="104"/>
        <v>0</v>
      </c>
      <c r="J86" s="55"/>
      <c r="K86" s="55"/>
      <c r="L86" s="55"/>
      <c r="M86" s="1">
        <f t="shared" si="105"/>
        <v>0</v>
      </c>
      <c r="O86" s="55"/>
      <c r="P86" s="55"/>
      <c r="Q86" s="55"/>
      <c r="R86" s="55">
        <v>0</v>
      </c>
      <c r="S86" s="55"/>
      <c r="T86" s="55"/>
      <c r="U86" s="55"/>
      <c r="V86" s="55">
        <f t="shared" ref="V86:W86" si="114">U86</f>
        <v>0</v>
      </c>
      <c r="W86" s="55">
        <f t="shared" si="114"/>
        <v>0</v>
      </c>
      <c r="X86" s="122"/>
      <c r="Z86" s="140" t="e">
        <f t="shared" si="103"/>
        <v>#DIV/0!</v>
      </c>
      <c r="AA86" s="69">
        <f t="shared" si="25"/>
        <v>0</v>
      </c>
      <c r="AB86" s="55"/>
      <c r="AC86" s="55"/>
      <c r="AD86" s="55"/>
      <c r="AE86" s="123"/>
      <c r="AF86" s="65"/>
      <c r="AG86" s="55"/>
      <c r="AH86" s="217">
        <f t="shared" si="93"/>
        <v>0</v>
      </c>
      <c r="AI86" s="261"/>
      <c r="AK86" s="55">
        <f t="shared" si="98"/>
        <v>0</v>
      </c>
      <c r="AM86" s="347"/>
      <c r="AN86" s="349"/>
      <c r="AO86" s="354"/>
      <c r="AR86" s="65">
        <f t="shared" si="60"/>
        <v>0</v>
      </c>
      <c r="AS86" s="259"/>
      <c r="AU86" s="69"/>
      <c r="AX86" s="223"/>
      <c r="AY86" s="69">
        <f t="shared" si="94"/>
        <v>0</v>
      </c>
      <c r="AZ86" s="69">
        <f t="shared" si="71"/>
        <v>0</v>
      </c>
      <c r="BA86" s="69">
        <f t="shared" si="83"/>
        <v>0</v>
      </c>
      <c r="BB86" s="501"/>
      <c r="BE86" s="501"/>
      <c r="BF86" s="221"/>
      <c r="BG86" s="365">
        <f t="shared" si="74"/>
        <v>0</v>
      </c>
      <c r="BH86" s="69"/>
      <c r="BI86" s="69"/>
      <c r="BJ86" s="65"/>
      <c r="BK86" s="65"/>
      <c r="BL86" s="69"/>
      <c r="BM86" s="69"/>
      <c r="BN86" s="69"/>
      <c r="BO86" s="55"/>
      <c r="BP86" s="65"/>
      <c r="BQ86" s="69">
        <f t="shared" si="75"/>
        <v>0</v>
      </c>
      <c r="BR86" s="55"/>
      <c r="BS86" s="55"/>
      <c r="BT86" s="223"/>
      <c r="BU86" s="353"/>
      <c r="BV86" s="727"/>
    </row>
    <row r="87" spans="1:74" x14ac:dyDescent="0.25">
      <c r="A87" s="54" t="s">
        <v>261</v>
      </c>
      <c r="B87" s="446" t="s">
        <v>262</v>
      </c>
      <c r="C87" s="55"/>
      <c r="D87" s="55"/>
      <c r="E87" s="55"/>
      <c r="F87" s="56"/>
      <c r="G87" s="56"/>
      <c r="H87" s="56"/>
      <c r="I87" s="56">
        <f t="shared" si="104"/>
        <v>0</v>
      </c>
      <c r="J87" s="55"/>
      <c r="K87" s="55"/>
      <c r="L87" s="55"/>
      <c r="M87" s="1">
        <f t="shared" si="105"/>
        <v>0</v>
      </c>
      <c r="O87" s="55"/>
      <c r="P87" s="55"/>
      <c r="Q87" s="55"/>
      <c r="R87" s="55">
        <v>0</v>
      </c>
      <c r="S87" s="55"/>
      <c r="T87" s="55"/>
      <c r="U87" s="55"/>
      <c r="V87" s="55">
        <f t="shared" ref="V87:W87" si="115">U87</f>
        <v>0</v>
      </c>
      <c r="W87" s="55">
        <f t="shared" si="115"/>
        <v>0</v>
      </c>
      <c r="X87" s="122"/>
      <c r="Z87" s="140" t="e">
        <f t="shared" si="103"/>
        <v>#DIV/0!</v>
      </c>
      <c r="AA87" s="69">
        <f t="shared" si="25"/>
        <v>0</v>
      </c>
      <c r="AB87" s="55"/>
      <c r="AC87" s="55"/>
      <c r="AD87" s="55"/>
      <c r="AE87" s="123"/>
      <c r="AF87" s="65"/>
      <c r="AG87" s="55"/>
      <c r="AH87" s="217">
        <f t="shared" si="93"/>
        <v>0</v>
      </c>
      <c r="AI87" s="261"/>
      <c r="AK87" s="55">
        <f t="shared" si="98"/>
        <v>0</v>
      </c>
      <c r="AM87" s="347"/>
      <c r="AN87" s="349"/>
      <c r="AO87" s="354"/>
      <c r="AR87" s="65">
        <f t="shared" si="60"/>
        <v>0</v>
      </c>
      <c r="AS87" s="259"/>
      <c r="AU87" s="69"/>
      <c r="AX87" s="223"/>
      <c r="AY87" s="69">
        <f t="shared" si="94"/>
        <v>0</v>
      </c>
      <c r="AZ87" s="69">
        <f t="shared" si="71"/>
        <v>0</v>
      </c>
      <c r="BA87" s="69">
        <f t="shared" si="83"/>
        <v>0</v>
      </c>
      <c r="BB87" s="501"/>
      <c r="BE87" s="501"/>
      <c r="BF87" s="221"/>
      <c r="BG87" s="365">
        <f t="shared" si="74"/>
        <v>0</v>
      </c>
      <c r="BH87" s="69"/>
      <c r="BI87" s="69"/>
      <c r="BJ87" s="65"/>
      <c r="BK87" s="65"/>
      <c r="BL87" s="69"/>
      <c r="BM87" s="69"/>
      <c r="BN87" s="69"/>
      <c r="BO87" s="55"/>
      <c r="BP87" s="65"/>
      <c r="BQ87" s="69">
        <f t="shared" si="75"/>
        <v>0</v>
      </c>
      <c r="BR87" s="55"/>
      <c r="BS87" s="55"/>
      <c r="BT87" s="223"/>
      <c r="BU87" s="353"/>
      <c r="BV87" s="727"/>
    </row>
    <row r="88" spans="1:74" x14ac:dyDescent="0.25">
      <c r="A88" s="54" t="s">
        <v>63</v>
      </c>
      <c r="B88" s="446" t="s">
        <v>167</v>
      </c>
      <c r="C88" s="55">
        <v>0</v>
      </c>
      <c r="D88" s="55">
        <v>0</v>
      </c>
      <c r="E88" s="55">
        <v>0</v>
      </c>
      <c r="F88" s="56"/>
      <c r="G88" s="56"/>
      <c r="H88" s="56"/>
      <c r="I88" s="56">
        <f t="shared" si="104"/>
        <v>0</v>
      </c>
      <c r="J88" s="55"/>
      <c r="K88" s="55"/>
      <c r="L88" s="55"/>
      <c r="M88" s="1">
        <f t="shared" si="105"/>
        <v>0</v>
      </c>
      <c r="O88" s="55"/>
      <c r="P88" s="55"/>
      <c r="Q88" s="55"/>
      <c r="R88" s="55">
        <v>0</v>
      </c>
      <c r="S88" s="55"/>
      <c r="T88" s="55"/>
      <c r="U88" s="55"/>
      <c r="V88" s="55">
        <f t="shared" ref="V88:W88" si="116">U88</f>
        <v>0</v>
      </c>
      <c r="W88" s="55">
        <f t="shared" si="116"/>
        <v>0</v>
      </c>
      <c r="X88" s="122"/>
      <c r="Z88" s="140" t="e">
        <f t="shared" si="103"/>
        <v>#DIV/0!</v>
      </c>
      <c r="AA88" s="69">
        <f t="shared" si="25"/>
        <v>0</v>
      </c>
      <c r="AB88" s="55"/>
      <c r="AC88" s="55"/>
      <c r="AD88" s="55"/>
      <c r="AE88" s="123"/>
      <c r="AF88" s="65"/>
      <c r="AG88" s="55"/>
      <c r="AH88" s="217">
        <f t="shared" si="93"/>
        <v>0</v>
      </c>
      <c r="AI88" s="261"/>
      <c r="AK88" s="55">
        <f t="shared" si="98"/>
        <v>0</v>
      </c>
      <c r="AM88" s="347"/>
      <c r="AN88" s="349"/>
      <c r="AO88" s="354"/>
      <c r="AR88" s="65">
        <f t="shared" si="60"/>
        <v>0</v>
      </c>
      <c r="AS88" s="259"/>
      <c r="AU88" s="69"/>
      <c r="AX88" s="223"/>
      <c r="AY88" s="69">
        <f t="shared" si="94"/>
        <v>0</v>
      </c>
      <c r="AZ88" s="69">
        <f t="shared" si="71"/>
        <v>0</v>
      </c>
      <c r="BA88" s="69">
        <f t="shared" si="83"/>
        <v>0</v>
      </c>
      <c r="BB88" s="501"/>
      <c r="BE88" s="501"/>
      <c r="BF88" s="221"/>
      <c r="BG88" s="365">
        <f t="shared" si="74"/>
        <v>0</v>
      </c>
      <c r="BH88" s="69"/>
      <c r="BI88" s="69"/>
      <c r="BJ88" s="65"/>
      <c r="BK88" s="65"/>
      <c r="BL88" s="69"/>
      <c r="BM88" s="69"/>
      <c r="BN88" s="69"/>
      <c r="BO88" s="55"/>
      <c r="BP88" s="65"/>
      <c r="BQ88" s="69">
        <f t="shared" si="75"/>
        <v>0</v>
      </c>
      <c r="BR88" s="55"/>
      <c r="BS88" s="55"/>
      <c r="BT88" s="223"/>
      <c r="BU88" s="353"/>
      <c r="BV88" s="727"/>
    </row>
    <row r="89" spans="1:74" x14ac:dyDescent="0.25">
      <c r="A89" s="54" t="s">
        <v>64</v>
      </c>
      <c r="B89" s="58" t="s">
        <v>204</v>
      </c>
      <c r="C89" s="55">
        <v>0</v>
      </c>
      <c r="D89" s="55">
        <v>0</v>
      </c>
      <c r="E89" s="55">
        <v>0</v>
      </c>
      <c r="F89" s="56"/>
      <c r="G89" s="56"/>
      <c r="H89" s="56"/>
      <c r="I89" s="56">
        <f t="shared" si="104"/>
        <v>0</v>
      </c>
      <c r="J89" s="55"/>
      <c r="K89" s="55"/>
      <c r="L89" s="55"/>
      <c r="M89" s="1">
        <f t="shared" si="105"/>
        <v>0</v>
      </c>
      <c r="O89" s="55"/>
      <c r="P89" s="55"/>
      <c r="Q89" s="55"/>
      <c r="R89" s="55">
        <v>0</v>
      </c>
      <c r="S89" s="55"/>
      <c r="T89" s="55"/>
      <c r="U89" s="55"/>
      <c r="V89" s="55">
        <f t="shared" ref="V89:W89" si="117">U89</f>
        <v>0</v>
      </c>
      <c r="W89" s="55">
        <f t="shared" si="117"/>
        <v>0</v>
      </c>
      <c r="X89" s="122"/>
      <c r="Z89" s="140" t="e">
        <f t="shared" si="103"/>
        <v>#DIV/0!</v>
      </c>
      <c r="AA89" s="69">
        <f t="shared" si="25"/>
        <v>0</v>
      </c>
      <c r="AB89" s="55"/>
      <c r="AC89" s="55"/>
      <c r="AD89" s="55"/>
      <c r="AE89" s="123"/>
      <c r="AF89" s="65"/>
      <c r="AG89" s="55"/>
      <c r="AH89" s="217">
        <f t="shared" si="93"/>
        <v>0</v>
      </c>
      <c r="AI89" s="261"/>
      <c r="AK89" s="55">
        <f t="shared" si="98"/>
        <v>0</v>
      </c>
      <c r="AM89" s="347"/>
      <c r="AN89" s="349"/>
      <c r="AO89" s="354"/>
      <c r="AR89" s="65">
        <f t="shared" si="60"/>
        <v>0</v>
      </c>
      <c r="AS89" s="259"/>
      <c r="AU89" s="69"/>
      <c r="AX89" s="223"/>
      <c r="AY89" s="69">
        <f t="shared" si="94"/>
        <v>0</v>
      </c>
      <c r="AZ89" s="69">
        <f t="shared" si="71"/>
        <v>0</v>
      </c>
      <c r="BA89" s="69">
        <f t="shared" si="83"/>
        <v>0</v>
      </c>
      <c r="BB89" s="501"/>
      <c r="BE89" s="501"/>
      <c r="BF89" s="221"/>
      <c r="BG89" s="365">
        <f t="shared" si="74"/>
        <v>0</v>
      </c>
      <c r="BH89" s="69"/>
      <c r="BI89" s="69"/>
      <c r="BJ89" s="65"/>
      <c r="BK89" s="65"/>
      <c r="BL89" s="607"/>
      <c r="BM89" s="69"/>
      <c r="BN89" s="69"/>
      <c r="BO89" s="55"/>
      <c r="BP89" s="65"/>
      <c r="BQ89" s="69">
        <f t="shared" si="75"/>
        <v>0</v>
      </c>
      <c r="BR89" s="55"/>
      <c r="BS89" s="55"/>
      <c r="BT89" s="223"/>
      <c r="BU89" s="800"/>
      <c r="BV89" s="727"/>
    </row>
    <row r="90" spans="1:74" x14ac:dyDescent="0.25">
      <c r="A90" s="54" t="s">
        <v>65</v>
      </c>
      <c r="B90" s="446" t="s">
        <v>168</v>
      </c>
      <c r="C90" s="55">
        <v>554000</v>
      </c>
      <c r="D90" s="55">
        <v>103030</v>
      </c>
      <c r="E90" s="55">
        <v>0</v>
      </c>
      <c r="F90" s="56"/>
      <c r="G90" s="56"/>
      <c r="H90" s="56"/>
      <c r="I90" s="56">
        <f t="shared" si="104"/>
        <v>0</v>
      </c>
      <c r="J90" s="55">
        <v>1181102.3622047245</v>
      </c>
      <c r="K90" s="55">
        <v>748031.49606299214</v>
      </c>
      <c r="L90" s="64">
        <f>(beruházások!F77)/1.27</f>
        <v>0</v>
      </c>
      <c r="M90" s="1">
        <f t="shared" si="105"/>
        <v>0</v>
      </c>
      <c r="O90" s="55">
        <v>998031</v>
      </c>
      <c r="P90" s="55">
        <v>977750</v>
      </c>
      <c r="Q90" s="55">
        <v>977750</v>
      </c>
      <c r="R90" s="55">
        <v>0</v>
      </c>
      <c r="S90" s="55">
        <v>2107120</v>
      </c>
      <c r="T90" s="55">
        <v>1969876</v>
      </c>
      <c r="U90" s="55"/>
      <c r="V90" s="55">
        <f t="shared" ref="V90:W90" si="118">U90</f>
        <v>0</v>
      </c>
      <c r="W90" s="55">
        <f t="shared" si="118"/>
        <v>0</v>
      </c>
      <c r="X90" s="122"/>
      <c r="Z90" s="140">
        <f t="shared" si="103"/>
        <v>0</v>
      </c>
      <c r="AA90" s="69">
        <f>beruházások!R77</f>
        <v>1000000</v>
      </c>
      <c r="AB90" s="55">
        <v>137244</v>
      </c>
      <c r="AC90" s="55">
        <v>137244</v>
      </c>
      <c r="AD90" s="55">
        <v>137244</v>
      </c>
      <c r="AE90" s="123">
        <f>(AD90+AD92+AD93)/AA90*100</f>
        <v>26.078000000000003</v>
      </c>
      <c r="AF90" s="65">
        <v>700922</v>
      </c>
      <c r="AG90" s="55">
        <v>137244</v>
      </c>
      <c r="AH90" s="217">
        <f t="shared" si="93"/>
        <v>164692.79999999999</v>
      </c>
      <c r="AI90" s="261"/>
      <c r="AM90" s="347"/>
      <c r="AN90" s="349"/>
      <c r="AO90" s="354"/>
      <c r="AR90" s="65">
        <f t="shared" si="60"/>
        <v>0</v>
      </c>
      <c r="AS90" s="259"/>
      <c r="AU90" s="69"/>
      <c r="AX90" s="223"/>
      <c r="AY90" s="69">
        <f t="shared" si="94"/>
        <v>0</v>
      </c>
      <c r="AZ90" s="69">
        <f t="shared" si="71"/>
        <v>0</v>
      </c>
      <c r="BA90" s="69">
        <f t="shared" si="83"/>
        <v>0</v>
      </c>
      <c r="BB90" s="501"/>
      <c r="BE90" s="501"/>
      <c r="BF90" s="221"/>
      <c r="BG90" s="365">
        <f t="shared" si="74"/>
        <v>0</v>
      </c>
      <c r="BH90" s="69"/>
      <c r="BI90" s="69"/>
      <c r="BJ90" s="65"/>
      <c r="BK90" s="65"/>
      <c r="BL90" s="607"/>
      <c r="BM90" s="69">
        <v>1968504</v>
      </c>
      <c r="BN90" s="69">
        <v>1968504</v>
      </c>
      <c r="BO90" s="55"/>
      <c r="BP90" s="65"/>
      <c r="BQ90" s="69">
        <f t="shared" si="75"/>
        <v>0</v>
      </c>
      <c r="BR90" s="55">
        <v>1574803</v>
      </c>
      <c r="BS90" s="55">
        <v>1574803</v>
      </c>
      <c r="BT90" s="223">
        <f>beruházások!AI77/1.27</f>
        <v>2519685.0393700786</v>
      </c>
      <c r="BU90" s="800"/>
      <c r="BV90" s="727"/>
    </row>
    <row r="91" spans="1:74" x14ac:dyDescent="0.25">
      <c r="A91" s="54" t="s">
        <v>67</v>
      </c>
      <c r="B91" s="446" t="s">
        <v>169</v>
      </c>
      <c r="C91" s="55">
        <v>0</v>
      </c>
      <c r="D91" s="55">
        <v>0</v>
      </c>
      <c r="E91" s="55">
        <v>0</v>
      </c>
      <c r="F91" s="56"/>
      <c r="G91" s="56"/>
      <c r="H91" s="56"/>
      <c r="I91" s="56">
        <f t="shared" si="104"/>
        <v>0</v>
      </c>
      <c r="J91" s="55"/>
      <c r="K91" s="55"/>
      <c r="L91" s="64"/>
      <c r="M91" s="1">
        <f t="shared" si="105"/>
        <v>0</v>
      </c>
      <c r="O91" s="55"/>
      <c r="P91" s="55"/>
      <c r="Q91" s="55"/>
      <c r="R91" s="55">
        <v>0</v>
      </c>
      <c r="S91" s="55"/>
      <c r="T91" s="55"/>
      <c r="U91" s="55"/>
      <c r="V91" s="55">
        <f t="shared" ref="V91:W91" si="119">U91</f>
        <v>0</v>
      </c>
      <c r="W91" s="55">
        <f t="shared" si="119"/>
        <v>0</v>
      </c>
      <c r="X91" s="122"/>
      <c r="Z91" s="140" t="e">
        <f t="shared" si="103"/>
        <v>#DIV/0!</v>
      </c>
      <c r="AA91" s="69">
        <f t="shared" ref="AA91:AA101" si="120">W91</f>
        <v>0</v>
      </c>
      <c r="AB91" s="55"/>
      <c r="AC91" s="55"/>
      <c r="AD91" s="55"/>
      <c r="AE91" s="123"/>
      <c r="AF91" s="65"/>
      <c r="AG91" s="55"/>
      <c r="AH91" s="217">
        <f t="shared" si="93"/>
        <v>0</v>
      </c>
      <c r="AI91" s="261"/>
      <c r="AK91" s="55">
        <f t="shared" si="98"/>
        <v>0</v>
      </c>
      <c r="AM91" s="347"/>
      <c r="AN91" s="349"/>
      <c r="AO91" s="354"/>
      <c r="AR91" s="65">
        <f t="shared" si="60"/>
        <v>0</v>
      </c>
      <c r="AS91" s="259"/>
      <c r="AU91" s="69"/>
      <c r="AX91" s="223"/>
      <c r="AY91" s="69">
        <f t="shared" si="94"/>
        <v>0</v>
      </c>
      <c r="AZ91" s="69">
        <f t="shared" si="71"/>
        <v>0</v>
      </c>
      <c r="BA91" s="69">
        <f t="shared" si="83"/>
        <v>0</v>
      </c>
      <c r="BB91" s="501"/>
      <c r="BE91" s="501"/>
      <c r="BF91" s="221">
        <v>227504</v>
      </c>
      <c r="BG91" s="365">
        <f t="shared" si="74"/>
        <v>273004.80000000005</v>
      </c>
      <c r="BH91" s="69"/>
      <c r="BI91" s="69"/>
      <c r="BJ91" s="65"/>
      <c r="BK91" s="65"/>
      <c r="BL91" s="607"/>
      <c r="BM91" s="69"/>
      <c r="BN91" s="69"/>
      <c r="BO91" s="55"/>
      <c r="BP91" s="65"/>
      <c r="BQ91" s="69">
        <f t="shared" si="75"/>
        <v>0</v>
      </c>
      <c r="BR91" s="55"/>
      <c r="BS91" s="55"/>
      <c r="BT91" s="223"/>
      <c r="BU91" s="800"/>
      <c r="BV91" s="727"/>
    </row>
    <row r="92" spans="1:74" x14ac:dyDescent="0.25">
      <c r="A92" s="54" t="s">
        <v>68</v>
      </c>
      <c r="B92" s="446" t="s">
        <v>170</v>
      </c>
      <c r="C92" s="55">
        <v>0</v>
      </c>
      <c r="D92" s="55">
        <v>0</v>
      </c>
      <c r="E92" s="55">
        <v>0</v>
      </c>
      <c r="F92" s="56"/>
      <c r="G92" s="56"/>
      <c r="H92" s="56"/>
      <c r="I92" s="56">
        <f t="shared" si="104"/>
        <v>0</v>
      </c>
      <c r="J92" s="55"/>
      <c r="K92" s="55"/>
      <c r="L92" s="64"/>
      <c r="M92" s="1">
        <f t="shared" si="105"/>
        <v>0</v>
      </c>
      <c r="O92" s="55"/>
      <c r="P92" s="55"/>
      <c r="Q92" s="55"/>
      <c r="R92" s="55">
        <v>0</v>
      </c>
      <c r="S92" s="55">
        <v>180000</v>
      </c>
      <c r="T92" s="55">
        <v>177370</v>
      </c>
      <c r="U92" s="55"/>
      <c r="V92" s="55">
        <f t="shared" ref="V92:W92" si="121">U92</f>
        <v>0</v>
      </c>
      <c r="W92" s="55">
        <f t="shared" si="121"/>
        <v>0</v>
      </c>
      <c r="X92" s="122"/>
      <c r="Z92" s="140">
        <f t="shared" si="103"/>
        <v>0</v>
      </c>
      <c r="AA92" s="69">
        <f t="shared" si="120"/>
        <v>0</v>
      </c>
      <c r="AB92" s="55"/>
      <c r="AC92" s="55"/>
      <c r="AD92" s="55">
        <v>68094</v>
      </c>
      <c r="AE92" s="123"/>
      <c r="AF92" s="65">
        <v>86480</v>
      </c>
      <c r="AG92" s="55">
        <v>68094</v>
      </c>
      <c r="AH92" s="217">
        <f t="shared" si="93"/>
        <v>81712.799999999988</v>
      </c>
      <c r="AI92" s="261"/>
      <c r="AK92" s="55">
        <v>1575000</v>
      </c>
      <c r="AL92" s="55">
        <v>1575000</v>
      </c>
      <c r="AM92" s="347"/>
      <c r="AN92" s="349">
        <v>675000</v>
      </c>
      <c r="AO92" s="354"/>
      <c r="AP92" s="65">
        <v>675000</v>
      </c>
      <c r="AQ92" s="65">
        <v>0</v>
      </c>
      <c r="AR92" s="65">
        <f t="shared" si="60"/>
        <v>675000</v>
      </c>
      <c r="AS92" s="259">
        <f t="shared" ref="AS92:AS93" si="122">AQ92/AP92*100</f>
        <v>0</v>
      </c>
      <c r="AU92" s="69">
        <f>AP92-AT92</f>
        <v>675000</v>
      </c>
      <c r="AV92" s="54">
        <f>(AU92/AP92)*100</f>
        <v>100</v>
      </c>
      <c r="AW92" s="55">
        <v>1575000</v>
      </c>
      <c r="AX92" s="223"/>
      <c r="AY92" s="69">
        <f t="shared" si="94"/>
        <v>0</v>
      </c>
      <c r="AZ92" s="69">
        <f t="shared" si="71"/>
        <v>0</v>
      </c>
      <c r="BA92" s="69">
        <f t="shared" si="83"/>
        <v>0</v>
      </c>
      <c r="BB92" s="501"/>
      <c r="BC92" s="501">
        <v>50900</v>
      </c>
      <c r="BD92" s="501">
        <v>0</v>
      </c>
      <c r="BE92" s="501"/>
      <c r="BF92" s="221"/>
      <c r="BG92" s="365">
        <f t="shared" si="74"/>
        <v>0</v>
      </c>
      <c r="BH92" s="69"/>
      <c r="BI92" s="69">
        <v>50900</v>
      </c>
      <c r="BJ92" s="65"/>
      <c r="BK92" s="65"/>
      <c r="BL92" s="607"/>
      <c r="BM92" s="69"/>
      <c r="BN92" s="69"/>
      <c r="BO92" s="55"/>
      <c r="BP92" s="65"/>
      <c r="BQ92" s="69">
        <f t="shared" si="75"/>
        <v>0</v>
      </c>
      <c r="BR92" s="55"/>
      <c r="BS92" s="55"/>
      <c r="BT92" s="223"/>
      <c r="BU92" s="800">
        <f>2602362-1270000</f>
        <v>1332362</v>
      </c>
      <c r="BV92" s="727">
        <v>2000000</v>
      </c>
    </row>
    <row r="93" spans="1:74" x14ac:dyDescent="0.25">
      <c r="A93" s="54" t="s">
        <v>69</v>
      </c>
      <c r="B93" s="446" t="s">
        <v>171</v>
      </c>
      <c r="C93" s="55">
        <v>0</v>
      </c>
      <c r="D93" s="55">
        <v>0</v>
      </c>
      <c r="E93" s="55">
        <v>0</v>
      </c>
      <c r="F93" s="56"/>
      <c r="G93" s="56"/>
      <c r="H93" s="56"/>
      <c r="I93" s="56">
        <f t="shared" si="104"/>
        <v>0</v>
      </c>
      <c r="J93" s="55">
        <v>318897.6377952756</v>
      </c>
      <c r="K93" s="55">
        <v>201968.50393700789</v>
      </c>
      <c r="L93" s="64">
        <f>(beruházások!F77)/1.27*0.27</f>
        <v>0</v>
      </c>
      <c r="M93" s="1">
        <f t="shared" si="105"/>
        <v>0</v>
      </c>
      <c r="O93" s="55">
        <v>269969</v>
      </c>
      <c r="P93" s="55">
        <v>251843</v>
      </c>
      <c r="Q93" s="55">
        <v>251843</v>
      </c>
      <c r="R93" s="55">
        <v>0</v>
      </c>
      <c r="S93" s="55">
        <v>604663</v>
      </c>
      <c r="T93" s="55">
        <v>567607</v>
      </c>
      <c r="U93" s="55"/>
      <c r="V93" s="55">
        <f t="shared" ref="V93:W93" si="123">U93</f>
        <v>0</v>
      </c>
      <c r="W93" s="55">
        <f t="shared" si="123"/>
        <v>0</v>
      </c>
      <c r="X93" s="122"/>
      <c r="Z93" s="140">
        <f t="shared" si="103"/>
        <v>0</v>
      </c>
      <c r="AA93" s="69">
        <f t="shared" si="120"/>
        <v>0</v>
      </c>
      <c r="AB93" s="55">
        <v>37056</v>
      </c>
      <c r="AC93" s="55">
        <v>37056</v>
      </c>
      <c r="AD93" s="55">
        <v>55442</v>
      </c>
      <c r="AE93" s="123"/>
      <c r="AF93" s="65">
        <v>212598</v>
      </c>
      <c r="AG93" s="55">
        <v>55442</v>
      </c>
      <c r="AH93" s="217">
        <f t="shared" si="93"/>
        <v>66530.399999999994</v>
      </c>
      <c r="AI93" s="261"/>
      <c r="AK93" s="55">
        <v>425000</v>
      </c>
      <c r="AL93" s="55">
        <v>425000</v>
      </c>
      <c r="AM93" s="347"/>
      <c r="AN93" s="349">
        <v>425000</v>
      </c>
      <c r="AO93" s="354"/>
      <c r="AP93" s="65">
        <v>425000</v>
      </c>
      <c r="AQ93" s="65">
        <v>0</v>
      </c>
      <c r="AR93" s="65">
        <f t="shared" si="60"/>
        <v>425000</v>
      </c>
      <c r="AS93" s="259">
        <f t="shared" si="122"/>
        <v>0</v>
      </c>
      <c r="AU93" s="69">
        <f>AP93-AT93</f>
        <v>425000</v>
      </c>
      <c r="AV93" s="54">
        <f>(AU93/AP93)*100</f>
        <v>100</v>
      </c>
      <c r="AW93" s="55">
        <v>425000</v>
      </c>
      <c r="AX93" s="223"/>
      <c r="AY93" s="69">
        <f t="shared" si="94"/>
        <v>0</v>
      </c>
      <c r="AZ93" s="69">
        <f t="shared" si="71"/>
        <v>0</v>
      </c>
      <c r="BA93" s="69">
        <f t="shared" si="83"/>
        <v>0</v>
      </c>
      <c r="BB93" s="501"/>
      <c r="BC93" s="501">
        <v>13743</v>
      </c>
      <c r="BD93" s="501">
        <v>0</v>
      </c>
      <c r="BE93" s="501"/>
      <c r="BF93" s="221">
        <v>61426</v>
      </c>
      <c r="BG93" s="365">
        <f t="shared" si="74"/>
        <v>73711.200000000012</v>
      </c>
      <c r="BH93" s="69"/>
      <c r="BI93" s="69">
        <v>13743</v>
      </c>
      <c r="BJ93" s="65"/>
      <c r="BK93" s="65"/>
      <c r="BL93" s="607"/>
      <c r="BM93" s="69">
        <f>BM90*0.27</f>
        <v>531496.08000000007</v>
      </c>
      <c r="BN93" s="69">
        <f>BN90*0.27</f>
        <v>531496.08000000007</v>
      </c>
      <c r="BO93" s="55"/>
      <c r="BP93" s="65"/>
      <c r="BQ93" s="69">
        <f t="shared" si="75"/>
        <v>0</v>
      </c>
      <c r="BR93" s="55">
        <v>425197</v>
      </c>
      <c r="BS93" s="55">
        <v>425197</v>
      </c>
      <c r="BT93" s="223">
        <f>BT90*0.27</f>
        <v>680314.96062992129</v>
      </c>
      <c r="BU93" s="800">
        <v>702638</v>
      </c>
      <c r="BV93" s="727">
        <v>540000</v>
      </c>
    </row>
    <row r="94" spans="1:74" x14ac:dyDescent="0.25">
      <c r="A94" s="54" t="s">
        <v>70</v>
      </c>
      <c r="B94" s="446" t="s">
        <v>172</v>
      </c>
      <c r="C94" s="55">
        <v>0</v>
      </c>
      <c r="D94" s="55">
        <v>0</v>
      </c>
      <c r="E94" s="55">
        <v>0</v>
      </c>
      <c r="F94" s="56"/>
      <c r="G94" s="56"/>
      <c r="H94" s="56"/>
      <c r="I94" s="56">
        <f t="shared" si="104"/>
        <v>0</v>
      </c>
      <c r="J94" s="55"/>
      <c r="K94" s="55"/>
      <c r="L94" s="55"/>
      <c r="M94" s="1">
        <f t="shared" si="105"/>
        <v>0</v>
      </c>
      <c r="O94" s="55"/>
      <c r="P94" s="55"/>
      <c r="Q94" s="55"/>
      <c r="R94" s="55">
        <v>0</v>
      </c>
      <c r="S94" s="55"/>
      <c r="T94" s="55"/>
      <c r="U94" s="55"/>
      <c r="V94" s="55">
        <f t="shared" ref="V94:W94" si="124">U94</f>
        <v>0</v>
      </c>
      <c r="W94" s="55">
        <f t="shared" si="124"/>
        <v>0</v>
      </c>
      <c r="X94" s="122"/>
      <c r="Z94" s="140" t="e">
        <f t="shared" si="103"/>
        <v>#DIV/0!</v>
      </c>
      <c r="AA94" s="69">
        <f t="shared" si="120"/>
        <v>0</v>
      </c>
      <c r="AB94" s="55"/>
      <c r="AC94" s="55"/>
      <c r="AD94" s="55"/>
      <c r="AE94" s="123"/>
      <c r="AF94" s="65"/>
      <c r="AG94" s="55"/>
      <c r="AH94" s="217">
        <f t="shared" si="93"/>
        <v>0</v>
      </c>
      <c r="AI94" s="261"/>
      <c r="AK94" s="55">
        <f t="shared" si="98"/>
        <v>0</v>
      </c>
      <c r="AM94" s="347"/>
      <c r="AN94" s="349"/>
      <c r="AO94" s="354"/>
      <c r="AR94" s="65">
        <f t="shared" si="60"/>
        <v>0</v>
      </c>
      <c r="AS94" s="259"/>
      <c r="AU94" s="69"/>
      <c r="AX94" s="223"/>
      <c r="AY94" s="69">
        <f t="shared" si="94"/>
        <v>0</v>
      </c>
      <c r="AZ94" s="69">
        <f t="shared" si="71"/>
        <v>0</v>
      </c>
      <c r="BA94" s="69">
        <f t="shared" si="83"/>
        <v>0</v>
      </c>
      <c r="BB94" s="501"/>
      <c r="BE94" s="501"/>
      <c r="BF94" s="221"/>
      <c r="BG94" s="365">
        <f t="shared" si="74"/>
        <v>0</v>
      </c>
      <c r="BH94" s="69"/>
      <c r="BI94" s="69"/>
      <c r="BJ94" s="65"/>
      <c r="BK94" s="65"/>
      <c r="BL94" s="607"/>
      <c r="BM94" s="69"/>
      <c r="BN94" s="69"/>
      <c r="BO94" s="55"/>
      <c r="BP94" s="65"/>
      <c r="BQ94" s="69">
        <f t="shared" si="75"/>
        <v>0</v>
      </c>
      <c r="BR94" s="55"/>
      <c r="BS94" s="55"/>
      <c r="BT94" s="223"/>
      <c r="BU94" s="800">
        <v>1732283</v>
      </c>
      <c r="BV94" s="727">
        <v>1200000</v>
      </c>
    </row>
    <row r="95" spans="1:74" x14ac:dyDescent="0.25">
      <c r="A95" s="54" t="s">
        <v>239</v>
      </c>
      <c r="B95" s="446" t="s">
        <v>240</v>
      </c>
      <c r="C95" s="55"/>
      <c r="D95" s="55"/>
      <c r="E95" s="55"/>
      <c r="F95" s="56"/>
      <c r="G95" s="56"/>
      <c r="H95" s="56"/>
      <c r="I95" s="56">
        <f t="shared" si="104"/>
        <v>0</v>
      </c>
      <c r="J95" s="55"/>
      <c r="K95" s="55"/>
      <c r="L95" s="55"/>
      <c r="M95" s="1">
        <f t="shared" si="105"/>
        <v>0</v>
      </c>
      <c r="O95" s="55"/>
      <c r="P95" s="55"/>
      <c r="Q95" s="55"/>
      <c r="R95" s="55">
        <v>0</v>
      </c>
      <c r="S95" s="55"/>
      <c r="T95" s="55"/>
      <c r="U95" s="55"/>
      <c r="V95" s="55">
        <f t="shared" ref="V95:W95" si="125">U95</f>
        <v>0</v>
      </c>
      <c r="W95" s="55">
        <f t="shared" si="125"/>
        <v>0</v>
      </c>
      <c r="X95" s="122"/>
      <c r="Z95" s="140" t="e">
        <f t="shared" si="103"/>
        <v>#DIV/0!</v>
      </c>
      <c r="AA95" s="69">
        <f t="shared" si="120"/>
        <v>0</v>
      </c>
      <c r="AB95" s="55"/>
      <c r="AC95" s="55"/>
      <c r="AD95" s="55"/>
      <c r="AE95" s="123"/>
      <c r="AF95" s="65"/>
      <c r="AG95" s="55"/>
      <c r="AH95" s="217">
        <f t="shared" si="93"/>
        <v>0</v>
      </c>
      <c r="AI95" s="261"/>
      <c r="AK95" s="55">
        <f t="shared" si="98"/>
        <v>0</v>
      </c>
      <c r="AM95" s="347"/>
      <c r="AN95" s="349"/>
      <c r="AO95" s="354"/>
      <c r="AR95" s="65">
        <f t="shared" si="60"/>
        <v>0</v>
      </c>
      <c r="AS95" s="259"/>
      <c r="AU95" s="69"/>
      <c r="AX95" s="223"/>
      <c r="AY95" s="69">
        <f t="shared" si="94"/>
        <v>0</v>
      </c>
      <c r="AZ95" s="69">
        <f t="shared" si="71"/>
        <v>0</v>
      </c>
      <c r="BA95" s="69">
        <f t="shared" si="83"/>
        <v>0</v>
      </c>
      <c r="BB95" s="501"/>
      <c r="BE95" s="501"/>
      <c r="BF95" s="221"/>
      <c r="BG95" s="365">
        <f t="shared" si="74"/>
        <v>0</v>
      </c>
      <c r="BH95" s="69"/>
      <c r="BI95" s="69"/>
      <c r="BJ95" s="65"/>
      <c r="BK95" s="65"/>
      <c r="BL95" s="607"/>
      <c r="BM95" s="69"/>
      <c r="BN95" s="69"/>
      <c r="BO95" s="55"/>
      <c r="BP95" s="65"/>
      <c r="BQ95" s="69">
        <f t="shared" si="75"/>
        <v>0</v>
      </c>
      <c r="BR95" s="55"/>
      <c r="BS95" s="55"/>
      <c r="BT95" s="223"/>
      <c r="BU95" s="353"/>
      <c r="BV95" s="727"/>
    </row>
    <row r="96" spans="1:74" x14ac:dyDescent="0.25">
      <c r="A96" s="54" t="s">
        <v>71</v>
      </c>
      <c r="B96" s="446" t="s">
        <v>173</v>
      </c>
      <c r="C96" s="55">
        <v>0</v>
      </c>
      <c r="D96" s="55">
        <v>0</v>
      </c>
      <c r="E96" s="55">
        <v>0</v>
      </c>
      <c r="F96" s="56"/>
      <c r="G96" s="56"/>
      <c r="H96" s="56"/>
      <c r="I96" s="56">
        <f t="shared" si="104"/>
        <v>0</v>
      </c>
      <c r="J96" s="55"/>
      <c r="K96" s="55"/>
      <c r="L96" s="55"/>
      <c r="M96" s="1">
        <f t="shared" si="105"/>
        <v>0</v>
      </c>
      <c r="O96" s="55"/>
      <c r="P96" s="55"/>
      <c r="Q96" s="55"/>
      <c r="R96" s="55">
        <v>0</v>
      </c>
      <c r="S96" s="55"/>
      <c r="T96" s="55"/>
      <c r="U96" s="55"/>
      <c r="V96" s="55">
        <f t="shared" ref="V96:W96" si="126">U96</f>
        <v>0</v>
      </c>
      <c r="W96" s="55">
        <f t="shared" si="126"/>
        <v>0</v>
      </c>
      <c r="X96" s="122"/>
      <c r="Z96" s="140" t="e">
        <f t="shared" si="103"/>
        <v>#DIV/0!</v>
      </c>
      <c r="AA96" s="69">
        <f t="shared" si="120"/>
        <v>0</v>
      </c>
      <c r="AB96" s="55"/>
      <c r="AC96" s="55"/>
      <c r="AD96" s="55"/>
      <c r="AE96" s="123"/>
      <c r="AF96" s="65"/>
      <c r="AG96" s="55"/>
      <c r="AH96" s="217">
        <f t="shared" si="93"/>
        <v>0</v>
      </c>
      <c r="AI96" s="261"/>
      <c r="AK96" s="55">
        <f t="shared" si="98"/>
        <v>0</v>
      </c>
      <c r="AM96" s="347"/>
      <c r="AN96" s="349"/>
      <c r="AO96" s="354"/>
      <c r="AR96" s="65">
        <f t="shared" si="60"/>
        <v>0</v>
      </c>
      <c r="AS96" s="259"/>
      <c r="AU96" s="69"/>
      <c r="AX96" s="223"/>
      <c r="AY96" s="69">
        <f t="shared" si="94"/>
        <v>0</v>
      </c>
      <c r="AZ96" s="69">
        <f t="shared" si="71"/>
        <v>0</v>
      </c>
      <c r="BA96" s="69">
        <f t="shared" si="83"/>
        <v>0</v>
      </c>
      <c r="BB96" s="501"/>
      <c r="BE96" s="501"/>
      <c r="BF96" s="221"/>
      <c r="BG96" s="365">
        <f t="shared" si="74"/>
        <v>0</v>
      </c>
      <c r="BH96" s="69"/>
      <c r="BI96" s="69"/>
      <c r="BJ96" s="65"/>
      <c r="BK96" s="65"/>
      <c r="BL96" s="607"/>
      <c r="BM96" s="69"/>
      <c r="BN96" s="69"/>
      <c r="BO96" s="55"/>
      <c r="BP96" s="65"/>
      <c r="BQ96" s="69">
        <f t="shared" si="75"/>
        <v>0</v>
      </c>
      <c r="BR96" s="55"/>
      <c r="BS96" s="55"/>
      <c r="BT96" s="223"/>
      <c r="BU96" s="800">
        <v>467717</v>
      </c>
      <c r="BV96" s="727">
        <v>324000</v>
      </c>
    </row>
    <row r="97" spans="1:74" x14ac:dyDescent="0.25">
      <c r="A97" s="54" t="s">
        <v>707</v>
      </c>
      <c r="B97" s="446" t="s">
        <v>708</v>
      </c>
      <c r="C97" s="55"/>
      <c r="D97" s="55"/>
      <c r="E97" s="55"/>
      <c r="F97" s="55"/>
      <c r="G97" s="55"/>
      <c r="H97" s="55"/>
      <c r="I97" s="55"/>
      <c r="J97" s="55"/>
      <c r="K97" s="55"/>
      <c r="L97" s="64"/>
      <c r="N97" s="1"/>
      <c r="O97" s="55"/>
      <c r="P97" s="55"/>
      <c r="Q97" s="55"/>
      <c r="R97" s="55"/>
      <c r="S97" s="55"/>
      <c r="T97" s="55"/>
      <c r="U97" s="55"/>
      <c r="V97" s="69"/>
      <c r="W97" s="69"/>
      <c r="X97" s="122"/>
      <c r="Y97" s="1"/>
      <c r="Z97" s="140"/>
      <c r="AA97" s="171"/>
      <c r="AB97" s="55"/>
      <c r="AC97" s="223"/>
      <c r="AD97" s="55"/>
      <c r="AE97" s="122"/>
      <c r="AF97" s="55"/>
      <c r="AG97" s="55"/>
      <c r="AH97" s="55"/>
      <c r="AI97" s="230"/>
      <c r="AJ97" s="230"/>
      <c r="AK97" s="230"/>
      <c r="AM97" s="55"/>
      <c r="AN97" s="223"/>
      <c r="AO97" s="223"/>
      <c r="AP97" s="222"/>
      <c r="AR97" s="69"/>
      <c r="AS97" s="415"/>
      <c r="AT97" s="65"/>
      <c r="AU97" s="55"/>
      <c r="AV97" s="55"/>
      <c r="AW97" s="430"/>
      <c r="AX97" s="430"/>
      <c r="AY97" s="69"/>
      <c r="AZ97" s="69"/>
      <c r="BA97" s="69"/>
      <c r="BB97" s="501"/>
      <c r="BE97" s="501"/>
      <c r="BF97" s="221"/>
      <c r="BG97" s="517"/>
      <c r="BH97" s="222"/>
      <c r="BI97" s="65"/>
      <c r="BJ97" s="65"/>
      <c r="BK97" s="65"/>
      <c r="BL97" s="610"/>
      <c r="BM97" s="65">
        <v>0</v>
      </c>
      <c r="BN97" s="65"/>
      <c r="BO97" s="55">
        <v>0</v>
      </c>
      <c r="BP97" s="65"/>
      <c r="BQ97" s="69">
        <f t="shared" si="75"/>
        <v>0</v>
      </c>
      <c r="BR97" s="55"/>
      <c r="BS97" s="55"/>
      <c r="BT97" s="223"/>
      <c r="BU97" s="353"/>
      <c r="BV97" s="727"/>
    </row>
    <row r="98" spans="1:74" x14ac:dyDescent="0.25">
      <c r="A98" s="54" t="s">
        <v>263</v>
      </c>
      <c r="B98" s="446" t="s">
        <v>264</v>
      </c>
      <c r="C98" s="55"/>
      <c r="D98" s="55"/>
      <c r="E98" s="55"/>
      <c r="F98" s="56"/>
      <c r="G98" s="56"/>
      <c r="H98" s="56"/>
      <c r="I98" s="56">
        <f t="shared" si="104"/>
        <v>0</v>
      </c>
      <c r="J98" s="55"/>
      <c r="K98" s="55"/>
      <c r="L98" s="55"/>
      <c r="M98" s="1">
        <f t="shared" si="105"/>
        <v>0</v>
      </c>
      <c r="O98" s="55"/>
      <c r="P98" s="55"/>
      <c r="Q98" s="55"/>
      <c r="R98" s="55">
        <v>0</v>
      </c>
      <c r="S98" s="55"/>
      <c r="T98" s="55"/>
      <c r="U98" s="55"/>
      <c r="V98" s="55">
        <f t="shared" ref="V98:W98" si="127">U98</f>
        <v>0</v>
      </c>
      <c r="W98" s="55">
        <f t="shared" si="127"/>
        <v>0</v>
      </c>
      <c r="X98" s="122"/>
      <c r="Z98" s="140" t="e">
        <f t="shared" si="103"/>
        <v>#DIV/0!</v>
      </c>
      <c r="AA98" s="69">
        <f t="shared" si="120"/>
        <v>0</v>
      </c>
      <c r="AB98" s="55"/>
      <c r="AC98" s="55"/>
      <c r="AD98" s="55"/>
      <c r="AE98" s="123"/>
      <c r="AF98" s="65"/>
      <c r="AG98" s="55"/>
      <c r="AH98" s="217">
        <f t="shared" si="93"/>
        <v>0</v>
      </c>
      <c r="AI98" s="261"/>
      <c r="AK98" s="55">
        <f t="shared" si="98"/>
        <v>0</v>
      </c>
      <c r="AM98" s="347"/>
      <c r="AN98" s="349"/>
      <c r="AO98" s="354"/>
      <c r="AR98" s="65">
        <f t="shared" si="60"/>
        <v>0</v>
      </c>
      <c r="AS98" s="259"/>
      <c r="AU98" s="69"/>
      <c r="AX98" s="223"/>
      <c r="AY98" s="69">
        <f t="shared" si="94"/>
        <v>0</v>
      </c>
      <c r="AZ98" s="69">
        <f t="shared" si="71"/>
        <v>0</v>
      </c>
      <c r="BA98" s="69">
        <f t="shared" si="83"/>
        <v>0</v>
      </c>
      <c r="BB98" s="501"/>
      <c r="BE98" s="501"/>
      <c r="BF98" s="221"/>
      <c r="BG98" s="365">
        <f t="shared" si="74"/>
        <v>0</v>
      </c>
      <c r="BH98" s="69"/>
      <c r="BI98" s="69"/>
      <c r="BJ98" s="65"/>
      <c r="BK98" s="65"/>
      <c r="BL98" s="69"/>
      <c r="BM98" s="69"/>
      <c r="BN98" s="69"/>
      <c r="BO98" s="55"/>
      <c r="BP98" s="65"/>
      <c r="BQ98" s="69">
        <f t="shared" si="75"/>
        <v>0</v>
      </c>
      <c r="BR98" s="55"/>
      <c r="BS98" s="55"/>
      <c r="BT98" s="223"/>
      <c r="BU98" s="353"/>
      <c r="BV98" s="727"/>
    </row>
    <row r="99" spans="1:74" x14ac:dyDescent="0.25">
      <c r="A99" s="54" t="s">
        <v>665</v>
      </c>
      <c r="B99" s="446" t="s">
        <v>666</v>
      </c>
      <c r="C99" s="232"/>
      <c r="D99" s="232"/>
      <c r="E99" s="232"/>
      <c r="F99" s="368"/>
      <c r="G99" s="368"/>
      <c r="H99" s="368"/>
      <c r="I99" s="368"/>
      <c r="J99" s="232"/>
      <c r="K99" s="232"/>
      <c r="L99" s="232"/>
      <c r="O99" s="232"/>
      <c r="P99" s="232"/>
      <c r="Q99" s="232"/>
      <c r="R99" s="232"/>
      <c r="S99" s="232"/>
      <c r="T99" s="232"/>
      <c r="U99" s="232"/>
      <c r="V99" s="232"/>
      <c r="W99" s="232"/>
      <c r="X99" s="369"/>
      <c r="Z99" s="140"/>
      <c r="AA99" s="665"/>
      <c r="AB99" s="232"/>
      <c r="AC99" s="232"/>
      <c r="AD99" s="232"/>
      <c r="AE99" s="370"/>
      <c r="AF99" s="250"/>
      <c r="AG99" s="232"/>
      <c r="AH99" s="371"/>
      <c r="AI99" s="372"/>
      <c r="AJ99" s="250"/>
      <c r="AK99" s="232"/>
      <c r="AL99" s="232"/>
      <c r="AM99" s="666"/>
      <c r="AN99" s="667"/>
      <c r="AO99" s="668"/>
      <c r="AP99" s="250"/>
      <c r="AQ99" s="250"/>
      <c r="AS99" s="259"/>
      <c r="AU99" s="69"/>
      <c r="AW99" s="232"/>
      <c r="AX99" s="223"/>
      <c r="AY99" s="69"/>
      <c r="AZ99" s="69"/>
      <c r="BA99" s="69"/>
      <c r="BB99" s="501"/>
      <c r="BE99" s="501"/>
      <c r="BF99" s="221"/>
      <c r="BG99" s="365"/>
      <c r="BH99" s="69"/>
      <c r="BI99" s="69"/>
      <c r="BJ99" s="65"/>
      <c r="BK99" s="65"/>
      <c r="BL99" s="69"/>
      <c r="BM99" s="69"/>
      <c r="BN99" s="69"/>
      <c r="BO99" s="55"/>
      <c r="BP99" s="65"/>
      <c r="BQ99" s="69">
        <f t="shared" si="75"/>
        <v>0</v>
      </c>
      <c r="BR99" s="55"/>
      <c r="BS99" s="55"/>
      <c r="BT99" s="223"/>
      <c r="BU99" s="353"/>
      <c r="BV99" s="727"/>
    </row>
    <row r="100" spans="1:74" x14ac:dyDescent="0.25">
      <c r="A100" s="648" t="s">
        <v>265</v>
      </c>
      <c r="B100" s="671" t="s">
        <v>266</v>
      </c>
      <c r="C100" s="232"/>
      <c r="D100" s="232"/>
      <c r="E100" s="232"/>
      <c r="F100" s="368"/>
      <c r="G100" s="368"/>
      <c r="H100" s="368"/>
      <c r="I100" s="368">
        <f t="shared" si="104"/>
        <v>0</v>
      </c>
      <c r="J100" s="232"/>
      <c r="K100" s="232"/>
      <c r="L100" s="232"/>
      <c r="M100" s="1">
        <f t="shared" si="105"/>
        <v>0</v>
      </c>
      <c r="O100" s="232"/>
      <c r="P100" s="232"/>
      <c r="Q100" s="232"/>
      <c r="R100" s="232">
        <v>0</v>
      </c>
      <c r="S100" s="232"/>
      <c r="T100" s="232"/>
      <c r="U100" s="232"/>
      <c r="V100" s="232">
        <f t="shared" ref="V100:W100" si="128">U100</f>
        <v>0</v>
      </c>
      <c r="W100" s="232">
        <f t="shared" si="128"/>
        <v>0</v>
      </c>
      <c r="X100" s="369"/>
      <c r="Z100" s="140" t="e">
        <f t="shared" si="103"/>
        <v>#DIV/0!</v>
      </c>
      <c r="AA100" s="665">
        <f t="shared" si="120"/>
        <v>0</v>
      </c>
      <c r="AB100" s="232"/>
      <c r="AC100" s="232"/>
      <c r="AD100" s="232"/>
      <c r="AE100" s="370"/>
      <c r="AF100" s="250"/>
      <c r="AG100" s="232"/>
      <c r="AH100" s="371">
        <f t="shared" si="93"/>
        <v>0</v>
      </c>
      <c r="AI100" s="372"/>
      <c r="AJ100" s="250"/>
      <c r="AK100" s="232">
        <f t="shared" si="98"/>
        <v>0</v>
      </c>
      <c r="AL100" s="232"/>
      <c r="AM100" s="666"/>
      <c r="AN100" s="667"/>
      <c r="AO100" s="668"/>
      <c r="AP100" s="250"/>
      <c r="AQ100" s="250"/>
      <c r="AR100" s="65">
        <f t="shared" si="60"/>
        <v>0</v>
      </c>
      <c r="AS100" s="259"/>
      <c r="AU100" s="69"/>
      <c r="AW100" s="232"/>
      <c r="AX100" s="223"/>
      <c r="AY100" s="69">
        <f t="shared" si="94"/>
        <v>0</v>
      </c>
      <c r="AZ100" s="69">
        <f t="shared" si="71"/>
        <v>0</v>
      </c>
      <c r="BA100" s="69">
        <f t="shared" si="83"/>
        <v>0</v>
      </c>
      <c r="BB100" s="501"/>
      <c r="BE100" s="501"/>
      <c r="BF100" s="221"/>
      <c r="BG100" s="365">
        <f t="shared" si="74"/>
        <v>0</v>
      </c>
      <c r="BH100" s="69"/>
      <c r="BI100" s="69"/>
      <c r="BJ100" s="65"/>
      <c r="BK100" s="65"/>
      <c r="BL100" s="69"/>
      <c r="BM100" s="69"/>
      <c r="BN100" s="69"/>
      <c r="BO100" s="55"/>
      <c r="BP100" s="65"/>
      <c r="BQ100" s="69">
        <f t="shared" si="75"/>
        <v>0</v>
      </c>
      <c r="BR100" s="55"/>
      <c r="BS100" s="55"/>
      <c r="BT100" s="223"/>
      <c r="BU100" s="353"/>
      <c r="BV100" s="727"/>
    </row>
    <row r="101" spans="1:74" x14ac:dyDescent="0.25">
      <c r="A101" s="54" t="s">
        <v>72</v>
      </c>
      <c r="B101" s="446" t="s">
        <v>174</v>
      </c>
      <c r="C101" s="55">
        <v>0</v>
      </c>
      <c r="D101" s="55">
        <v>0</v>
      </c>
      <c r="E101" s="55">
        <v>0</v>
      </c>
      <c r="F101" s="56"/>
      <c r="G101" s="56"/>
      <c r="H101" s="56"/>
      <c r="I101" s="56">
        <f t="shared" si="104"/>
        <v>0</v>
      </c>
      <c r="J101" s="55"/>
      <c r="K101" s="55"/>
      <c r="L101" s="55"/>
      <c r="M101" s="55">
        <f t="shared" si="105"/>
        <v>0</v>
      </c>
      <c r="N101" s="54"/>
      <c r="O101" s="55"/>
      <c r="P101" s="55"/>
      <c r="Q101" s="55"/>
      <c r="R101" s="55">
        <v>0</v>
      </c>
      <c r="S101" s="55"/>
      <c r="T101" s="55"/>
      <c r="U101" s="55"/>
      <c r="V101" s="55">
        <f t="shared" ref="V101:W101" si="129">U101</f>
        <v>0</v>
      </c>
      <c r="W101" s="55">
        <f t="shared" si="129"/>
        <v>0</v>
      </c>
      <c r="X101" s="122"/>
      <c r="Y101" s="54"/>
      <c r="Z101" s="207" t="e">
        <f t="shared" si="103"/>
        <v>#DIV/0!</v>
      </c>
      <c r="AA101" s="69">
        <f t="shared" si="120"/>
        <v>0</v>
      </c>
      <c r="AB101" s="55"/>
      <c r="AC101" s="55"/>
      <c r="AD101" s="55"/>
      <c r="AE101" s="123"/>
      <c r="AF101" s="65"/>
      <c r="AG101" s="55"/>
      <c r="AH101" s="60">
        <f t="shared" si="93"/>
        <v>0</v>
      </c>
      <c r="AI101" s="216"/>
      <c r="AK101" s="55">
        <f t="shared" si="98"/>
        <v>0</v>
      </c>
      <c r="AM101" s="54"/>
      <c r="AN101" s="349"/>
      <c r="AO101" s="349"/>
      <c r="AR101" s="65">
        <f t="shared" si="60"/>
        <v>0</v>
      </c>
      <c r="AS101" s="259"/>
      <c r="AU101" s="69"/>
      <c r="AX101" s="223"/>
      <c r="AY101" s="69">
        <f t="shared" si="94"/>
        <v>0</v>
      </c>
      <c r="AZ101" s="69">
        <f t="shared" si="71"/>
        <v>0</v>
      </c>
      <c r="BA101" s="69">
        <f t="shared" si="83"/>
        <v>0</v>
      </c>
      <c r="BB101" s="501"/>
      <c r="BE101" s="501"/>
      <c r="BF101" s="221"/>
      <c r="BG101" s="365">
        <f t="shared" si="74"/>
        <v>0</v>
      </c>
      <c r="BH101" s="69"/>
      <c r="BI101" s="69"/>
      <c r="BJ101" s="65"/>
      <c r="BK101" s="65"/>
      <c r="BL101" s="69"/>
      <c r="BM101" s="69"/>
      <c r="BN101" s="69"/>
      <c r="BO101" s="55"/>
      <c r="BP101" s="65"/>
      <c r="BQ101" s="69">
        <f t="shared" si="75"/>
        <v>0</v>
      </c>
      <c r="BR101" s="55"/>
      <c r="BS101" s="55"/>
      <c r="BT101" s="223"/>
      <c r="BU101" s="353"/>
      <c r="BV101" s="727"/>
    </row>
    <row r="102" spans="1:74" x14ac:dyDescent="0.25">
      <c r="A102" s="54"/>
      <c r="B102" s="446"/>
      <c r="C102" s="55"/>
      <c r="D102" s="55"/>
      <c r="E102" s="55"/>
      <c r="F102" s="56"/>
      <c r="G102" s="56"/>
      <c r="H102" s="56"/>
      <c r="I102" s="56">
        <f t="shared" si="104"/>
        <v>0</v>
      </c>
      <c r="J102" s="55"/>
      <c r="K102" s="55"/>
      <c r="L102" s="55"/>
      <c r="M102" s="55">
        <f t="shared" si="105"/>
        <v>0</v>
      </c>
      <c r="N102" s="54"/>
      <c r="O102" s="55"/>
      <c r="P102" s="55"/>
      <c r="Q102" s="55"/>
      <c r="R102" s="55"/>
      <c r="S102" s="55"/>
      <c r="T102" s="55"/>
      <c r="U102" s="55"/>
      <c r="V102" s="55"/>
      <c r="W102" s="55"/>
      <c r="X102" s="122"/>
      <c r="Y102" s="54"/>
      <c r="Z102" s="54"/>
      <c r="AA102" s="54"/>
      <c r="AB102" s="55"/>
      <c r="AC102" s="55"/>
      <c r="AD102" s="55"/>
      <c r="AE102" s="123"/>
      <c r="AF102" s="65"/>
      <c r="AG102" s="55"/>
      <c r="AH102" s="55"/>
      <c r="AI102" s="65"/>
      <c r="AK102" s="65"/>
      <c r="AL102" s="65"/>
      <c r="AM102" s="54"/>
      <c r="AN102" s="54"/>
      <c r="AO102" s="54"/>
      <c r="AS102" s="259"/>
      <c r="AW102" s="250"/>
      <c r="AY102" s="54"/>
      <c r="AZ102" s="55"/>
      <c r="BA102" s="55"/>
      <c r="BC102" s="507"/>
      <c r="BD102" s="507"/>
      <c r="BU102" s="353"/>
      <c r="BV102" s="727"/>
    </row>
    <row r="103" spans="1:74" x14ac:dyDescent="0.25">
      <c r="A103" s="373" t="s">
        <v>3</v>
      </c>
      <c r="B103" s="453"/>
      <c r="C103" s="55">
        <f t="shared" ref="C103:H103" si="130">SUM(C2:C37)</f>
        <v>38107895</v>
      </c>
      <c r="D103" s="55">
        <f t="shared" si="130"/>
        <v>30791828</v>
      </c>
      <c r="E103" s="55">
        <f t="shared" si="130"/>
        <v>41410525</v>
      </c>
      <c r="F103" s="55">
        <f t="shared" si="130"/>
        <v>31208021</v>
      </c>
      <c r="G103" s="55">
        <f t="shared" si="130"/>
        <v>41526935</v>
      </c>
      <c r="H103" s="55">
        <f t="shared" si="130"/>
        <v>34629124</v>
      </c>
      <c r="I103" s="56">
        <f t="shared" si="104"/>
        <v>37777226.18181818</v>
      </c>
      <c r="J103" s="55">
        <f>SUM(J2:J37)</f>
        <v>49144274</v>
      </c>
      <c r="K103" s="55">
        <v>45887423</v>
      </c>
      <c r="L103" s="55">
        <f>SUM(L2:L37)</f>
        <v>44937423</v>
      </c>
      <c r="M103" s="55">
        <f t="shared" si="105"/>
        <v>118.95373891063488</v>
      </c>
      <c r="N103" s="69"/>
      <c r="O103" s="55">
        <f t="shared" ref="O103:W103" si="131">SUM(O2:O37)</f>
        <v>46699776</v>
      </c>
      <c r="P103" s="55">
        <f t="shared" si="131"/>
        <v>30945754</v>
      </c>
      <c r="Q103" s="55">
        <f t="shared" si="131"/>
        <v>37113423</v>
      </c>
      <c r="R103" s="55">
        <f t="shared" si="131"/>
        <v>44937423</v>
      </c>
      <c r="S103" s="55">
        <f t="shared" si="131"/>
        <v>47523776</v>
      </c>
      <c r="T103" s="55">
        <f t="shared" si="131"/>
        <v>45575154</v>
      </c>
      <c r="U103" s="55">
        <f t="shared" si="131"/>
        <v>43697018.480000004</v>
      </c>
      <c r="V103" s="55">
        <f t="shared" si="131"/>
        <v>43697018.480000004</v>
      </c>
      <c r="W103" s="55">
        <f t="shared" si="131"/>
        <v>42845018.480000004</v>
      </c>
      <c r="X103" s="122">
        <f t="shared" ref="X103:X106" si="132">T103/V103*100</f>
        <v>104.29808619748191</v>
      </c>
      <c r="Y103" s="54"/>
      <c r="Z103" s="54"/>
      <c r="AA103" s="55">
        <f t="shared" ref="AA103:AU103" si="133">SUM(AA2:AA37)</f>
        <v>45749968.480000004</v>
      </c>
      <c r="AB103" s="55">
        <f t="shared" si="133"/>
        <v>24024320</v>
      </c>
      <c r="AC103" s="55">
        <f t="shared" si="133"/>
        <v>32867769</v>
      </c>
      <c r="AD103" s="55">
        <f t="shared" si="133"/>
        <v>36472440</v>
      </c>
      <c r="AE103" s="55">
        <f t="shared" si="133"/>
        <v>147.6311452026091</v>
      </c>
      <c r="AF103" s="65">
        <f t="shared" si="133"/>
        <v>45749968</v>
      </c>
      <c r="AG103" s="55">
        <f t="shared" si="133"/>
        <v>37058576</v>
      </c>
      <c r="AH103" s="55">
        <f t="shared" si="133"/>
        <v>44470291.200000003</v>
      </c>
      <c r="AI103" s="55">
        <f t="shared" si="133"/>
        <v>39920144</v>
      </c>
      <c r="AJ103" s="65">
        <f t="shared" si="133"/>
        <v>3582520</v>
      </c>
      <c r="AK103" s="55">
        <f t="shared" si="133"/>
        <v>51311805.200000003</v>
      </c>
      <c r="AL103" s="55">
        <f t="shared" si="133"/>
        <v>55169255.200000003</v>
      </c>
      <c r="AM103" s="55">
        <f t="shared" si="133"/>
        <v>48974314</v>
      </c>
      <c r="AN103" s="55">
        <f t="shared" si="133"/>
        <v>49872525</v>
      </c>
      <c r="AO103" s="55">
        <f t="shared" si="133"/>
        <v>23305695</v>
      </c>
      <c r="AP103" s="65">
        <f t="shared" si="133"/>
        <v>54483255</v>
      </c>
      <c r="AQ103" s="65">
        <f t="shared" si="133"/>
        <v>38137063</v>
      </c>
      <c r="AR103" s="65">
        <f t="shared" si="133"/>
        <v>19791779</v>
      </c>
      <c r="AS103" s="65"/>
      <c r="AT103" s="65">
        <f t="shared" si="133"/>
        <v>42690518</v>
      </c>
      <c r="AU103" s="65">
        <f t="shared" si="133"/>
        <v>11901261</v>
      </c>
      <c r="AV103" s="259"/>
      <c r="AW103" s="71">
        <f t="shared" ref="AW103:AX103" si="134">SUM(AW2:AW37)</f>
        <v>55423255.200000003</v>
      </c>
      <c r="AX103" s="71">
        <f t="shared" si="134"/>
        <v>56902351.616000004</v>
      </c>
      <c r="AY103" s="71">
        <f t="shared" ref="AY103:BE103" si="135">SUM(AY2:AY37)</f>
        <v>56902351.616000004</v>
      </c>
      <c r="AZ103" s="71">
        <f t="shared" si="135"/>
        <v>59583037</v>
      </c>
      <c r="BA103" s="71">
        <f t="shared" si="135"/>
        <v>58188009</v>
      </c>
      <c r="BB103" s="501">
        <f t="shared" si="135"/>
        <v>59583037</v>
      </c>
      <c r="BC103" s="501">
        <f t="shared" si="135"/>
        <v>63164524</v>
      </c>
      <c r="BD103" s="501">
        <f t="shared" si="135"/>
        <v>38451896</v>
      </c>
      <c r="BE103" s="501">
        <f t="shared" si="135"/>
        <v>48212635</v>
      </c>
      <c r="BF103" s="501">
        <f t="shared" ref="BF103:BG103" si="136">SUM(BF2:BF37)</f>
        <v>53102116</v>
      </c>
      <c r="BG103" s="359">
        <f t="shared" si="136"/>
        <v>63722539.199999996</v>
      </c>
      <c r="BH103" s="359">
        <f t="shared" ref="BH103:BI103" si="137">SUM(BH2:BH37)</f>
        <v>72175600</v>
      </c>
      <c r="BI103" s="65">
        <f t="shared" si="137"/>
        <v>86877598</v>
      </c>
      <c r="BJ103" s="65">
        <f t="shared" ref="BJ103:BK103" si="138">SUM(BJ2:BJ37)</f>
        <v>41526722</v>
      </c>
      <c r="BK103" s="65">
        <f t="shared" si="138"/>
        <v>67204726</v>
      </c>
      <c r="BL103" s="65">
        <f t="shared" ref="BL103" si="139">SUM(BL2:BL37)</f>
        <v>75028034.400000006</v>
      </c>
      <c r="BM103" s="65">
        <f t="shared" ref="BM103:BN103" si="140">SUM(BM2:BM37)</f>
        <v>97329504</v>
      </c>
      <c r="BN103" s="65">
        <f t="shared" si="140"/>
        <v>97329504</v>
      </c>
      <c r="BO103" s="65">
        <f t="shared" ref="BO103:BQ103" si="141">SUM(BO2:BO37)</f>
        <v>76224938</v>
      </c>
      <c r="BP103" s="65">
        <f t="shared" si="141"/>
        <v>89951150</v>
      </c>
      <c r="BQ103" s="65">
        <f t="shared" si="141"/>
        <v>98946265</v>
      </c>
      <c r="BR103" s="65">
        <f t="shared" ref="BR103:BS103" si="142">SUM(BR2:BR37)</f>
        <v>88131355</v>
      </c>
      <c r="BS103" s="65">
        <f t="shared" si="142"/>
        <v>101047378</v>
      </c>
      <c r="BT103" s="222">
        <f t="shared" ref="BT103:BV103" si="143">SUM(BT2:BT37)</f>
        <v>100727578</v>
      </c>
      <c r="BU103" s="222">
        <f t="shared" si="143"/>
        <v>128894800</v>
      </c>
      <c r="BV103" s="65">
        <f t="shared" si="143"/>
        <v>134407500</v>
      </c>
    </row>
    <row r="104" spans="1:74" x14ac:dyDescent="0.25">
      <c r="A104" s="373" t="s">
        <v>4</v>
      </c>
      <c r="B104" s="453"/>
      <c r="C104" s="55">
        <f t="shared" ref="C104:H104" si="144">SUM(C38:C101)</f>
        <v>39060395</v>
      </c>
      <c r="D104" s="55">
        <f t="shared" si="144"/>
        <v>33554091</v>
      </c>
      <c r="E104" s="55">
        <f t="shared" si="144"/>
        <v>41410525</v>
      </c>
      <c r="F104" s="55">
        <f t="shared" si="144"/>
        <v>30983310</v>
      </c>
      <c r="G104" s="55">
        <f t="shared" si="144"/>
        <v>41526935</v>
      </c>
      <c r="H104" s="55">
        <f t="shared" si="144"/>
        <v>34863764</v>
      </c>
      <c r="I104" s="56">
        <f t="shared" si="104"/>
        <v>38033197.090909094</v>
      </c>
      <c r="J104" s="55">
        <f>SUM(J38:J101)</f>
        <v>49144274</v>
      </c>
      <c r="K104" s="55">
        <v>45887423</v>
      </c>
      <c r="L104" s="55">
        <f>SUM(L38:L101)</f>
        <v>44937423</v>
      </c>
      <c r="M104" s="55">
        <f t="shared" si="105"/>
        <v>118.15315681347545</v>
      </c>
      <c r="N104" s="54"/>
      <c r="O104" s="55">
        <f t="shared" ref="O104:W104" si="145">SUM(O38:O101)</f>
        <v>46717776</v>
      </c>
      <c r="P104" s="55">
        <f t="shared" si="145"/>
        <v>32283204.199999999</v>
      </c>
      <c r="Q104" s="55">
        <f t="shared" si="145"/>
        <v>35717629.399999999</v>
      </c>
      <c r="R104" s="55">
        <f t="shared" si="145"/>
        <v>44937423</v>
      </c>
      <c r="S104" s="55">
        <f t="shared" si="145"/>
        <v>47139090</v>
      </c>
      <c r="T104" s="55">
        <f t="shared" si="145"/>
        <v>43519060.799999997</v>
      </c>
      <c r="U104" s="55">
        <f t="shared" si="145"/>
        <v>43697018.480000004</v>
      </c>
      <c r="V104" s="55">
        <f t="shared" si="145"/>
        <v>43697018.480000004</v>
      </c>
      <c r="W104" s="55">
        <f t="shared" si="145"/>
        <v>42845018.480000004</v>
      </c>
      <c r="X104" s="122">
        <f t="shared" si="132"/>
        <v>99.592746401950834</v>
      </c>
      <c r="Y104" s="54"/>
      <c r="Z104" s="54"/>
      <c r="AA104" s="55">
        <f t="shared" ref="AA104:AU104" si="146">SUM(AA38:AA101)</f>
        <v>45749968.480000004</v>
      </c>
      <c r="AB104" s="55">
        <f t="shared" si="146"/>
        <v>22422008</v>
      </c>
      <c r="AC104" s="55">
        <f t="shared" si="146"/>
        <v>29343414</v>
      </c>
      <c r="AD104" s="55">
        <f t="shared" si="146"/>
        <v>33025559</v>
      </c>
      <c r="AE104" s="55">
        <f t="shared" si="146"/>
        <v>1186.0223706632416</v>
      </c>
      <c r="AF104" s="65">
        <f t="shared" si="146"/>
        <v>47785069</v>
      </c>
      <c r="AG104" s="55">
        <f t="shared" si="146"/>
        <v>37113814</v>
      </c>
      <c r="AH104" s="55">
        <f t="shared" si="146"/>
        <v>44536576.79999999</v>
      </c>
      <c r="AI104" s="55">
        <f t="shared" si="146"/>
        <v>46967744.200000003</v>
      </c>
      <c r="AJ104" s="65">
        <f t="shared" si="146"/>
        <v>4094061</v>
      </c>
      <c r="AK104" s="55">
        <f t="shared" si="146"/>
        <v>53061805.200000003</v>
      </c>
      <c r="AL104" s="55">
        <f t="shared" si="146"/>
        <v>55483255.200000003</v>
      </c>
      <c r="AM104" s="55">
        <f t="shared" si="146"/>
        <v>45267947</v>
      </c>
      <c r="AN104" s="55">
        <f t="shared" si="146"/>
        <v>54483255</v>
      </c>
      <c r="AO104" s="55">
        <f t="shared" si="146"/>
        <v>24538636</v>
      </c>
      <c r="AP104" s="65">
        <f t="shared" si="146"/>
        <v>54483255</v>
      </c>
      <c r="AQ104" s="65">
        <f t="shared" si="146"/>
        <v>35855960</v>
      </c>
      <c r="AR104" s="65">
        <f t="shared" si="146"/>
        <v>18704095</v>
      </c>
      <c r="AS104" s="65"/>
      <c r="AT104" s="65">
        <f t="shared" si="146"/>
        <v>39902321</v>
      </c>
      <c r="AU104" s="65">
        <f t="shared" si="146"/>
        <v>14807340</v>
      </c>
      <c r="AV104" s="259"/>
      <c r="AW104" s="71">
        <f t="shared" ref="AW104:AX104" si="147">SUM(AW38:AW101)</f>
        <v>55423255.200000003</v>
      </c>
      <c r="AX104" s="71">
        <f t="shared" si="147"/>
        <v>56902351.616000004</v>
      </c>
      <c r="AY104" s="71">
        <f t="shared" ref="AY104:BE104" si="148">SUM(AY38:AY101)</f>
        <v>56902351.616000004</v>
      </c>
      <c r="AZ104" s="71">
        <f t="shared" si="148"/>
        <v>59583037</v>
      </c>
      <c r="BA104" s="71">
        <f t="shared" si="148"/>
        <v>57584762</v>
      </c>
      <c r="BB104" s="501">
        <f t="shared" si="148"/>
        <v>59583037</v>
      </c>
      <c r="BC104" s="501">
        <f t="shared" si="148"/>
        <v>63164524</v>
      </c>
      <c r="BD104" s="501">
        <f t="shared" si="148"/>
        <v>34886603</v>
      </c>
      <c r="BE104" s="501">
        <f t="shared" si="148"/>
        <v>43790844</v>
      </c>
      <c r="BF104" s="501">
        <f t="shared" ref="BF104:BG104" si="149">SUM(BF38:BF101)</f>
        <v>49547488</v>
      </c>
      <c r="BG104" s="359">
        <f t="shared" si="149"/>
        <v>54942749.56363637</v>
      </c>
      <c r="BH104" s="359">
        <f t="shared" ref="BH104:BI104" si="150">SUM(BH38:BH101)</f>
        <v>72175600</v>
      </c>
      <c r="BI104" s="65">
        <f t="shared" si="150"/>
        <v>86877598</v>
      </c>
      <c r="BJ104" s="65">
        <f t="shared" ref="BJ104:BK104" si="151">SUM(BJ38:BJ101)</f>
        <v>37053701</v>
      </c>
      <c r="BK104" s="65">
        <f t="shared" si="151"/>
        <v>61176341</v>
      </c>
      <c r="BL104" s="65">
        <f t="shared" ref="BL104" si="152">SUM(BL38:BL101)</f>
        <v>75028034.399999991</v>
      </c>
      <c r="BM104" s="65">
        <f t="shared" ref="BM104:BN104" si="153">SUM(BM38:BM101)</f>
        <v>97329504.079999998</v>
      </c>
      <c r="BN104" s="65">
        <f t="shared" si="153"/>
        <v>97329504.079999998</v>
      </c>
      <c r="BO104" s="65">
        <f t="shared" ref="BO104:BQ104" si="154">SUM(BO38:BO101)</f>
        <v>72675803</v>
      </c>
      <c r="BP104" s="65">
        <f t="shared" si="154"/>
        <v>89951149.599999994</v>
      </c>
      <c r="BQ104" s="65">
        <f t="shared" si="154"/>
        <v>98946264.559999987</v>
      </c>
      <c r="BR104" s="65">
        <f t="shared" ref="BR104:BS104" si="155">SUM(BR38:BR101)</f>
        <v>88131354.920000002</v>
      </c>
      <c r="BS104" s="65">
        <f t="shared" si="155"/>
        <v>101047378.09</v>
      </c>
      <c r="BT104" s="222">
        <f t="shared" ref="BT104:BV104" si="156">SUM(BT38:BT101)</f>
        <v>100727578.09</v>
      </c>
      <c r="BU104" s="222">
        <f t="shared" si="156"/>
        <v>128894800</v>
      </c>
      <c r="BV104" s="65">
        <f t="shared" si="156"/>
        <v>134407500</v>
      </c>
    </row>
    <row r="105" spans="1:74" x14ac:dyDescent="0.25">
      <c r="A105" s="373"/>
      <c r="B105" s="446" t="s">
        <v>308</v>
      </c>
      <c r="C105" s="55">
        <f t="shared" ref="C105:H105" si="157">SUM(C39:C55)</f>
        <v>25557915</v>
      </c>
      <c r="D105" s="55">
        <f t="shared" si="157"/>
        <v>25792922</v>
      </c>
      <c r="E105" s="55">
        <f t="shared" si="157"/>
        <v>28888525</v>
      </c>
      <c r="F105" s="55">
        <f t="shared" si="157"/>
        <v>25024838</v>
      </c>
      <c r="G105" s="55">
        <f t="shared" si="157"/>
        <v>28888525</v>
      </c>
      <c r="H105" s="55">
        <f t="shared" si="157"/>
        <v>27598447</v>
      </c>
      <c r="I105" s="56">
        <f t="shared" si="104"/>
        <v>30107396.727272727</v>
      </c>
      <c r="J105" s="55">
        <f>SUM(J39:J55)</f>
        <v>34545974</v>
      </c>
      <c r="K105" s="55">
        <v>32559423</v>
      </c>
      <c r="L105" s="55">
        <f>SUM(L39:L55)</f>
        <v>32559423</v>
      </c>
      <c r="M105" s="55">
        <f t="shared" si="105"/>
        <v>108.14426532768312</v>
      </c>
      <c r="N105" s="54"/>
      <c r="O105" s="55">
        <f t="shared" ref="O105:W105" si="158">SUM(O39:O55)</f>
        <v>32559423</v>
      </c>
      <c r="P105" s="55">
        <f t="shared" si="158"/>
        <v>25933294</v>
      </c>
      <c r="Q105" s="55">
        <f t="shared" si="158"/>
        <v>28652536</v>
      </c>
      <c r="R105" s="55">
        <f t="shared" si="158"/>
        <v>32559423</v>
      </c>
      <c r="S105" s="55">
        <f t="shared" si="158"/>
        <v>33383423</v>
      </c>
      <c r="T105" s="55">
        <f t="shared" si="158"/>
        <v>33245599</v>
      </c>
      <c r="U105" s="55">
        <f t="shared" si="158"/>
        <v>34629018.480000004</v>
      </c>
      <c r="V105" s="55">
        <f t="shared" si="158"/>
        <v>34629018.480000004</v>
      </c>
      <c r="W105" s="55">
        <f t="shared" si="158"/>
        <v>34629018.480000004</v>
      </c>
      <c r="X105" s="122">
        <f t="shared" si="132"/>
        <v>96.005028323863712</v>
      </c>
      <c r="Y105" s="54"/>
      <c r="Z105" s="54"/>
      <c r="AA105" s="55">
        <f t="shared" ref="AA105:AU105" si="159">SUM(AA39:AA55)</f>
        <v>36533968.480000004</v>
      </c>
      <c r="AB105" s="55">
        <f t="shared" si="159"/>
        <v>17824978</v>
      </c>
      <c r="AC105" s="55">
        <f t="shared" si="159"/>
        <v>23857787</v>
      </c>
      <c r="AD105" s="55">
        <f t="shared" si="159"/>
        <v>26757253</v>
      </c>
      <c r="AE105" s="55">
        <f t="shared" si="159"/>
        <v>519.32460689421498</v>
      </c>
      <c r="AF105" s="55">
        <f t="shared" si="159"/>
        <v>36533968</v>
      </c>
      <c r="AG105" s="55">
        <f t="shared" si="159"/>
        <v>29709368</v>
      </c>
      <c r="AH105" s="55">
        <f t="shared" si="159"/>
        <v>35651241.600000009</v>
      </c>
      <c r="AI105" s="55">
        <f t="shared" si="159"/>
        <v>38745794.200000003</v>
      </c>
      <c r="AJ105" s="65">
        <f t="shared" si="159"/>
        <v>4021461</v>
      </c>
      <c r="AK105" s="55">
        <f t="shared" si="159"/>
        <v>42767255.200000003</v>
      </c>
      <c r="AL105" s="55">
        <f t="shared" si="159"/>
        <v>43488705.200000003</v>
      </c>
      <c r="AM105" s="55">
        <f t="shared" si="159"/>
        <v>37075046</v>
      </c>
      <c r="AN105" s="55">
        <f t="shared" si="159"/>
        <v>43488705</v>
      </c>
      <c r="AO105" s="55">
        <f t="shared" si="159"/>
        <v>20636871</v>
      </c>
      <c r="AP105" s="65">
        <f t="shared" si="159"/>
        <v>43488705</v>
      </c>
      <c r="AQ105" s="65">
        <f t="shared" si="159"/>
        <v>30520761</v>
      </c>
      <c r="AR105" s="65">
        <f t="shared" si="159"/>
        <v>12967944</v>
      </c>
      <c r="AS105" s="65"/>
      <c r="AT105" s="65">
        <f t="shared" si="159"/>
        <v>33870286</v>
      </c>
      <c r="AU105" s="65">
        <f t="shared" si="159"/>
        <v>9844825</v>
      </c>
      <c r="AV105" s="259"/>
      <c r="AW105" s="71">
        <f t="shared" ref="AW105:AX105" si="160">SUM(AW39:AW55)</f>
        <v>43488705.200000003</v>
      </c>
      <c r="AX105" s="71">
        <f t="shared" si="160"/>
        <v>46967801.616000004</v>
      </c>
      <c r="AY105" s="71">
        <f t="shared" ref="AY105:BE105" si="161">SUM(AY39:AY55)</f>
        <v>46967801.616000004</v>
      </c>
      <c r="AZ105" s="71">
        <f t="shared" si="161"/>
        <v>48448487</v>
      </c>
      <c r="BA105" s="71">
        <f t="shared" si="161"/>
        <v>46450212</v>
      </c>
      <c r="BB105" s="501">
        <f t="shared" si="161"/>
        <v>48448487</v>
      </c>
      <c r="BC105" s="501">
        <f t="shared" si="161"/>
        <v>48448487</v>
      </c>
      <c r="BD105" s="501">
        <f t="shared" si="161"/>
        <v>29411893</v>
      </c>
      <c r="BE105" s="501">
        <f t="shared" si="161"/>
        <v>37262857</v>
      </c>
      <c r="BF105" s="501">
        <f t="shared" ref="BF105:BG105" si="162">SUM(BF39:BF55)</f>
        <v>41380497</v>
      </c>
      <c r="BG105" s="359">
        <f t="shared" si="162"/>
        <v>45142360.363636367</v>
      </c>
      <c r="BH105" s="359">
        <f t="shared" ref="BH105:BI105" si="163">SUM(BH39:BH55)</f>
        <v>62794400</v>
      </c>
      <c r="BI105" s="65">
        <f t="shared" si="163"/>
        <v>62794400</v>
      </c>
      <c r="BJ105" s="65">
        <f t="shared" ref="BJ105:BK105" si="164">SUM(BJ39:BJ55)</f>
        <v>30526384</v>
      </c>
      <c r="BK105" s="65">
        <f t="shared" si="164"/>
        <v>51814979</v>
      </c>
      <c r="BL105" s="65">
        <f t="shared" ref="BL105" si="165">SUM(BL39:BL55)</f>
        <v>63794400</v>
      </c>
      <c r="BM105" s="65">
        <f t="shared" ref="BM105:BN105" si="166">SUM(BM39:BM55)</f>
        <v>73247504</v>
      </c>
      <c r="BN105" s="65">
        <f t="shared" si="166"/>
        <v>73247504</v>
      </c>
      <c r="BO105" s="65">
        <f t="shared" ref="BO105:BQ105" si="167">SUM(BO39:BO55)</f>
        <v>59225210</v>
      </c>
      <c r="BP105" s="65">
        <f t="shared" si="167"/>
        <v>73810438</v>
      </c>
      <c r="BQ105" s="65">
        <f t="shared" si="167"/>
        <v>81191481.800000012</v>
      </c>
      <c r="BR105" s="65">
        <f t="shared" ref="BR105:BS105" si="168">SUM(BR39:BR55)</f>
        <v>68141354.920000002</v>
      </c>
      <c r="BS105" s="65">
        <f t="shared" si="168"/>
        <v>81057378.090000004</v>
      </c>
      <c r="BT105" s="222">
        <f t="shared" ref="BT105:BV105" si="169">SUM(BT39:BT55)</f>
        <v>81057378.090000004</v>
      </c>
      <c r="BU105" s="222">
        <f t="shared" si="169"/>
        <v>106446000</v>
      </c>
      <c r="BV105" s="65">
        <f t="shared" si="169"/>
        <v>111588500</v>
      </c>
    </row>
    <row r="106" spans="1:74" x14ac:dyDescent="0.25">
      <c r="A106" s="373"/>
      <c r="B106" s="446" t="s">
        <v>309</v>
      </c>
      <c r="C106" s="55">
        <f t="shared" ref="C106:H106" si="170">SUM(C56:C88)+C100+C101</f>
        <v>12948480</v>
      </c>
      <c r="D106" s="55">
        <f t="shared" si="170"/>
        <v>7658139</v>
      </c>
      <c r="E106" s="55">
        <f t="shared" si="170"/>
        <v>12522000</v>
      </c>
      <c r="F106" s="55">
        <f t="shared" si="170"/>
        <v>5958472</v>
      </c>
      <c r="G106" s="55">
        <f t="shared" si="170"/>
        <v>12638410</v>
      </c>
      <c r="H106" s="55">
        <f t="shared" si="170"/>
        <v>7265317</v>
      </c>
      <c r="I106" s="56">
        <f t="shared" si="104"/>
        <v>7925800.3636363633</v>
      </c>
      <c r="J106" s="55">
        <f>SUM(J56:J88)+J100+J101</f>
        <v>13098300</v>
      </c>
      <c r="K106" s="55">
        <v>12378000</v>
      </c>
      <c r="L106" s="55">
        <f>SUM(L56:L88)+L100+L101</f>
        <v>12378000</v>
      </c>
      <c r="M106" s="55">
        <f t="shared" si="105"/>
        <v>156.1735021334926</v>
      </c>
      <c r="N106" s="54"/>
      <c r="O106" s="55">
        <f t="shared" ref="O106:W106" si="171">SUM(O56:O88)+O100+O101</f>
        <v>12890353</v>
      </c>
      <c r="P106" s="55">
        <f t="shared" si="171"/>
        <v>5120317.2</v>
      </c>
      <c r="Q106" s="55">
        <f t="shared" si="171"/>
        <v>5835500.4000000004</v>
      </c>
      <c r="R106" s="55">
        <f t="shared" si="171"/>
        <v>12378000</v>
      </c>
      <c r="S106" s="55">
        <f t="shared" si="171"/>
        <v>10863884</v>
      </c>
      <c r="T106" s="55">
        <f t="shared" si="171"/>
        <v>7558608.7999999998</v>
      </c>
      <c r="U106" s="55">
        <f t="shared" si="171"/>
        <v>9068000</v>
      </c>
      <c r="V106" s="55">
        <f t="shared" si="171"/>
        <v>9068000</v>
      </c>
      <c r="W106" s="55">
        <f t="shared" si="171"/>
        <v>8216000</v>
      </c>
      <c r="X106" s="122">
        <f t="shared" si="132"/>
        <v>83.354750771945291</v>
      </c>
      <c r="Y106" s="54"/>
      <c r="Z106" s="54"/>
      <c r="AA106" s="55">
        <f t="shared" ref="AA106:AU106" si="172">SUM(AA56:AA88)+AA100+AA101</f>
        <v>8216000</v>
      </c>
      <c r="AB106" s="55">
        <f t="shared" si="172"/>
        <v>4422730</v>
      </c>
      <c r="AC106" s="55">
        <f t="shared" si="172"/>
        <v>5311327</v>
      </c>
      <c r="AD106" s="55">
        <f t="shared" si="172"/>
        <v>6007526</v>
      </c>
      <c r="AE106" s="55">
        <f t="shared" si="172"/>
        <v>640.61976376902658</v>
      </c>
      <c r="AF106" s="55">
        <f t="shared" si="172"/>
        <v>10251101</v>
      </c>
      <c r="AG106" s="55">
        <f t="shared" si="172"/>
        <v>7143666</v>
      </c>
      <c r="AH106" s="55">
        <f t="shared" si="172"/>
        <v>8572399.1999999993</v>
      </c>
      <c r="AI106" s="55">
        <f t="shared" si="172"/>
        <v>8221950</v>
      </c>
      <c r="AJ106" s="65">
        <f t="shared" si="172"/>
        <v>72600</v>
      </c>
      <c r="AK106" s="55">
        <f t="shared" si="172"/>
        <v>8294550</v>
      </c>
      <c r="AL106" s="55">
        <f t="shared" si="172"/>
        <v>9994550</v>
      </c>
      <c r="AM106" s="55">
        <f t="shared" si="172"/>
        <v>8192901</v>
      </c>
      <c r="AN106" s="55">
        <f t="shared" si="172"/>
        <v>9894550</v>
      </c>
      <c r="AO106" s="55">
        <f t="shared" si="172"/>
        <v>3901765</v>
      </c>
      <c r="AP106" s="65">
        <f t="shared" si="172"/>
        <v>9894550</v>
      </c>
      <c r="AQ106" s="65">
        <f t="shared" si="172"/>
        <v>5335199</v>
      </c>
      <c r="AR106" s="65">
        <f t="shared" si="172"/>
        <v>4636151</v>
      </c>
      <c r="AS106" s="65"/>
      <c r="AT106" s="65">
        <f t="shared" si="172"/>
        <v>6032035</v>
      </c>
      <c r="AU106" s="65">
        <f t="shared" si="172"/>
        <v>3862515</v>
      </c>
      <c r="AV106" s="259"/>
      <c r="AW106" s="71">
        <f t="shared" ref="AW106:AX106" si="173">SUM(AW56:AW88)+AW100+AW101</f>
        <v>9934550</v>
      </c>
      <c r="AX106" s="71">
        <f t="shared" si="173"/>
        <v>9934550</v>
      </c>
      <c r="AY106" s="71">
        <f t="shared" ref="AY106:BE106" si="174">SUM(AY56:AY88)+AY100+AY101</f>
        <v>9934550</v>
      </c>
      <c r="AZ106" s="71">
        <f t="shared" si="174"/>
        <v>11134550</v>
      </c>
      <c r="BA106" s="71">
        <f t="shared" si="174"/>
        <v>11134550</v>
      </c>
      <c r="BB106" s="501">
        <f t="shared" si="174"/>
        <v>11134550</v>
      </c>
      <c r="BC106" s="501">
        <f t="shared" si="174"/>
        <v>14651394</v>
      </c>
      <c r="BD106" s="501">
        <f t="shared" si="174"/>
        <v>5474710</v>
      </c>
      <c r="BE106" s="501">
        <f t="shared" si="174"/>
        <v>6527987</v>
      </c>
      <c r="BF106" s="501">
        <f t="shared" ref="BF106:BG106" si="175">SUM(BF56:BF88)+BF100+BF101</f>
        <v>7878061</v>
      </c>
      <c r="BG106" s="359">
        <f t="shared" si="175"/>
        <v>9453673.1999999993</v>
      </c>
      <c r="BH106" s="359">
        <f t="shared" ref="BH106:BI106" si="176">SUM(BH56:BH88)+BH100+BH101</f>
        <v>9381200</v>
      </c>
      <c r="BI106" s="65">
        <f t="shared" si="176"/>
        <v>24018555</v>
      </c>
      <c r="BJ106" s="65">
        <f t="shared" ref="BJ106:BK106" si="177">SUM(BJ56:BJ88)+BJ100+BJ101</f>
        <v>6527317</v>
      </c>
      <c r="BK106" s="65">
        <f t="shared" si="177"/>
        <v>9361362</v>
      </c>
      <c r="BL106" s="65">
        <f t="shared" ref="BL106" si="178">SUM(BL56:BL88)+BL100+BL101</f>
        <v>11233634.399999999</v>
      </c>
      <c r="BM106" s="65">
        <f t="shared" ref="BM106" si="179">SUM(BM56:BM88)+BM100+BM101</f>
        <v>21582000</v>
      </c>
      <c r="BN106" s="65">
        <f t="shared" ref="BN106:BO106" si="180">SUM(BN56:BN88)+BN100+BN101</f>
        <v>21582000</v>
      </c>
      <c r="BO106" s="65">
        <f t="shared" si="180"/>
        <v>13450593</v>
      </c>
      <c r="BP106" s="65">
        <f t="shared" ref="BP106:BQ106" si="181">SUM(BP56:BP88)+BP100+BP101</f>
        <v>16140711.599999998</v>
      </c>
      <c r="BQ106" s="65">
        <f t="shared" si="181"/>
        <v>17754782.760000002</v>
      </c>
      <c r="BR106" s="65">
        <f t="shared" ref="BR106:BS106" si="182">SUM(BR56:BR88)+BR100+BR101</f>
        <v>17990000</v>
      </c>
      <c r="BS106" s="65">
        <f t="shared" si="182"/>
        <v>17990000</v>
      </c>
      <c r="BT106" s="222">
        <f t="shared" ref="BT106:BV106" si="183">SUM(BT56:BT88)+BT100+BT101</f>
        <v>16470200</v>
      </c>
      <c r="BU106" s="222">
        <f t="shared" si="183"/>
        <v>18213800</v>
      </c>
      <c r="BV106" s="65">
        <f t="shared" si="183"/>
        <v>18755000</v>
      </c>
    </row>
    <row r="107" spans="1:74" x14ac:dyDescent="0.25">
      <c r="A107" s="373"/>
      <c r="B107" s="446" t="s">
        <v>310</v>
      </c>
      <c r="C107" s="55">
        <f>SUM(C89:C98)</f>
        <v>554000</v>
      </c>
      <c r="D107" s="55">
        <f t="shared" ref="D107:L107" si="184">SUM(D89:D98)</f>
        <v>103030</v>
      </c>
      <c r="E107" s="55">
        <f t="shared" si="184"/>
        <v>0</v>
      </c>
      <c r="F107" s="55">
        <f t="shared" si="184"/>
        <v>0</v>
      </c>
      <c r="G107" s="55">
        <f t="shared" si="184"/>
        <v>0</v>
      </c>
      <c r="H107" s="55">
        <f t="shared" si="184"/>
        <v>0</v>
      </c>
      <c r="I107" s="56">
        <f t="shared" si="104"/>
        <v>0</v>
      </c>
      <c r="J107" s="55">
        <f t="shared" ref="J107" si="185">SUM(J89:J98)</f>
        <v>1500000</v>
      </c>
      <c r="K107" s="55">
        <v>950000</v>
      </c>
      <c r="L107" s="55">
        <f t="shared" si="184"/>
        <v>0</v>
      </c>
      <c r="M107" s="55">
        <f t="shared" si="105"/>
        <v>0</v>
      </c>
      <c r="N107" s="54"/>
      <c r="O107" s="55">
        <f t="shared" ref="O107:P107" si="186">SUM(O89:O98)</f>
        <v>1268000</v>
      </c>
      <c r="P107" s="55">
        <f t="shared" si="186"/>
        <v>1229593</v>
      </c>
      <c r="Q107" s="55">
        <f t="shared" ref="Q107:R107" si="187">SUM(Q89:Q98)</f>
        <v>1229593</v>
      </c>
      <c r="R107" s="55">
        <f t="shared" si="187"/>
        <v>0</v>
      </c>
      <c r="S107" s="55">
        <f t="shared" ref="S107:U107" si="188">SUM(S89:S98)</f>
        <v>2891783</v>
      </c>
      <c r="T107" s="55">
        <f t="shared" si="188"/>
        <v>2714853</v>
      </c>
      <c r="U107" s="55">
        <f t="shared" si="188"/>
        <v>0</v>
      </c>
      <c r="V107" s="55">
        <f t="shared" ref="V107:W107" si="189">SUM(V89:V98)</f>
        <v>0</v>
      </c>
      <c r="W107" s="55">
        <f t="shared" si="189"/>
        <v>0</v>
      </c>
      <c r="X107" s="122"/>
      <c r="Y107" s="54"/>
      <c r="Z107" s="54"/>
      <c r="AA107" s="55">
        <f t="shared" ref="AA107:AC107" si="190">SUM(AA89:AA98)</f>
        <v>1000000</v>
      </c>
      <c r="AB107" s="55">
        <f t="shared" si="190"/>
        <v>174300</v>
      </c>
      <c r="AC107" s="55">
        <f t="shared" si="190"/>
        <v>174300</v>
      </c>
      <c r="AD107" s="55">
        <f t="shared" ref="AD107:AJ107" si="191">SUM(AD89:AD98)</f>
        <v>260780</v>
      </c>
      <c r="AE107" s="55">
        <f t="shared" si="191"/>
        <v>26.078000000000003</v>
      </c>
      <c r="AF107" s="55">
        <f t="shared" si="191"/>
        <v>1000000</v>
      </c>
      <c r="AG107" s="55">
        <f t="shared" si="191"/>
        <v>260780</v>
      </c>
      <c r="AH107" s="55">
        <f t="shared" si="191"/>
        <v>312936</v>
      </c>
      <c r="AI107" s="55">
        <f t="shared" si="191"/>
        <v>0</v>
      </c>
      <c r="AJ107" s="65">
        <f t="shared" si="191"/>
        <v>0</v>
      </c>
      <c r="AK107" s="55">
        <f t="shared" ref="AK107:AU107" si="192">SUM(AK89:AK98)</f>
        <v>2000000</v>
      </c>
      <c r="AL107" s="55">
        <f t="shared" si="192"/>
        <v>2000000</v>
      </c>
      <c r="AM107" s="55">
        <f t="shared" si="192"/>
        <v>0</v>
      </c>
      <c r="AN107" s="55">
        <f t="shared" si="192"/>
        <v>1100000</v>
      </c>
      <c r="AO107" s="65">
        <f t="shared" si="192"/>
        <v>0</v>
      </c>
      <c r="AP107" s="65">
        <f t="shared" si="192"/>
        <v>1100000</v>
      </c>
      <c r="AQ107" s="65">
        <f t="shared" si="192"/>
        <v>0</v>
      </c>
      <c r="AR107" s="65">
        <f t="shared" si="192"/>
        <v>1100000</v>
      </c>
      <c r="AS107" s="65"/>
      <c r="AT107" s="65">
        <f t="shared" si="192"/>
        <v>0</v>
      </c>
      <c r="AU107" s="65">
        <f t="shared" si="192"/>
        <v>1100000</v>
      </c>
      <c r="AV107" s="259"/>
      <c r="AW107" s="71">
        <f t="shared" ref="AW107:AX107" si="193">SUM(AW89:AW98)</f>
        <v>2000000</v>
      </c>
      <c r="AX107" s="71">
        <f t="shared" si="193"/>
        <v>0</v>
      </c>
      <c r="AY107" s="71">
        <f t="shared" ref="AY107:BE107" si="194">SUM(AY89:AY98)</f>
        <v>0</v>
      </c>
      <c r="AZ107" s="71">
        <f t="shared" si="194"/>
        <v>0</v>
      </c>
      <c r="BA107" s="71">
        <f t="shared" si="194"/>
        <v>0</v>
      </c>
      <c r="BB107" s="501">
        <f t="shared" si="194"/>
        <v>0</v>
      </c>
      <c r="BC107" s="501">
        <f t="shared" si="194"/>
        <v>64643</v>
      </c>
      <c r="BD107" s="501">
        <f t="shared" si="194"/>
        <v>0</v>
      </c>
      <c r="BE107" s="501">
        <f t="shared" si="194"/>
        <v>0</v>
      </c>
      <c r="BF107" s="501">
        <f t="shared" ref="BF107:BG107" si="195">SUM(BF89:BF98)</f>
        <v>288930</v>
      </c>
      <c r="BG107" s="359">
        <f t="shared" si="195"/>
        <v>346716.00000000006</v>
      </c>
      <c r="BH107" s="359">
        <f t="shared" ref="BH107:BI107" si="196">SUM(BH89:BH98)</f>
        <v>0</v>
      </c>
      <c r="BI107" s="65">
        <f t="shared" si="196"/>
        <v>64643</v>
      </c>
      <c r="BJ107" s="65">
        <f t="shared" ref="BJ107:BK107" si="197">SUM(BJ89:BJ98)</f>
        <v>0</v>
      </c>
      <c r="BK107" s="65">
        <f t="shared" si="197"/>
        <v>0</v>
      </c>
      <c r="BL107" s="65">
        <f t="shared" ref="BL107" si="198">SUM(BL89:BL98)</f>
        <v>0</v>
      </c>
      <c r="BM107" s="65">
        <f t="shared" ref="BM107" si="199">SUM(BM89:BM98)</f>
        <v>2500000.08</v>
      </c>
      <c r="BN107" s="65">
        <f t="shared" ref="BN107:BO107" si="200">SUM(BN89:BN98)</f>
        <v>2500000.08</v>
      </c>
      <c r="BO107" s="65">
        <f t="shared" si="200"/>
        <v>0</v>
      </c>
      <c r="BP107" s="65">
        <f t="shared" ref="BP107:BQ107" si="201">SUM(BP89:BP98)</f>
        <v>0</v>
      </c>
      <c r="BQ107" s="65">
        <f t="shared" si="201"/>
        <v>0</v>
      </c>
      <c r="BR107" s="65">
        <f t="shared" ref="BR107:BS107" si="202">SUM(BR89:BR98)</f>
        <v>2000000</v>
      </c>
      <c r="BS107" s="65">
        <f t="shared" si="202"/>
        <v>2000000</v>
      </c>
      <c r="BT107" s="222">
        <f t="shared" ref="BT107:BV107" si="203">SUM(BT89:BT98)</f>
        <v>3200000</v>
      </c>
      <c r="BU107" s="222">
        <f t="shared" si="203"/>
        <v>4235000</v>
      </c>
      <c r="BV107" s="65">
        <f t="shared" si="203"/>
        <v>4064000</v>
      </c>
    </row>
    <row r="108" spans="1:74" x14ac:dyDescent="0.25">
      <c r="A108" s="374" t="s">
        <v>5</v>
      </c>
      <c r="B108" s="449"/>
      <c r="C108" s="375">
        <f>C103-C104</f>
        <v>-952500</v>
      </c>
      <c r="D108" s="375">
        <f t="shared" ref="D108:L108" si="204">D103-D104</f>
        <v>-2762263</v>
      </c>
      <c r="E108" s="375">
        <f t="shared" si="204"/>
        <v>0</v>
      </c>
      <c r="F108" s="375">
        <f t="shared" si="204"/>
        <v>224711</v>
      </c>
      <c r="G108" s="375">
        <f t="shared" ref="G108:H108" si="205">G103-G104</f>
        <v>0</v>
      </c>
      <c r="H108" s="375">
        <f t="shared" si="205"/>
        <v>-234640</v>
      </c>
      <c r="I108" s="376">
        <f t="shared" si="104"/>
        <v>-255970.90909090909</v>
      </c>
      <c r="J108" s="375">
        <f t="shared" ref="J108" si="206">J103-J104</f>
        <v>0</v>
      </c>
      <c r="K108" s="375">
        <v>0</v>
      </c>
      <c r="L108" s="375">
        <f t="shared" si="204"/>
        <v>0</v>
      </c>
      <c r="M108" s="375">
        <f t="shared" si="105"/>
        <v>0</v>
      </c>
      <c r="N108" s="669"/>
      <c r="O108" s="375">
        <f t="shared" ref="O108:P108" si="207">O103-O104</f>
        <v>-18000</v>
      </c>
      <c r="P108" s="375">
        <f t="shared" si="207"/>
        <v>-1337450.1999999993</v>
      </c>
      <c r="Q108" s="375">
        <f t="shared" ref="Q108:R108" si="208">Q103-Q104</f>
        <v>1395793.6000000015</v>
      </c>
      <c r="R108" s="375">
        <f t="shared" si="208"/>
        <v>0</v>
      </c>
      <c r="S108" s="375">
        <f t="shared" ref="S108:U108" si="209">S103-S104</f>
        <v>384686</v>
      </c>
      <c r="T108" s="375">
        <f t="shared" si="209"/>
        <v>2056093.200000003</v>
      </c>
      <c r="U108" s="375">
        <f t="shared" si="209"/>
        <v>0</v>
      </c>
      <c r="V108" s="375">
        <f t="shared" ref="V108:W108" si="210">V103-V104</f>
        <v>0</v>
      </c>
      <c r="W108" s="375">
        <f t="shared" si="210"/>
        <v>0</v>
      </c>
      <c r="X108" s="377"/>
      <c r="Y108" s="669"/>
      <c r="Z108" s="669"/>
      <c r="AA108" s="375">
        <f t="shared" ref="AA108:AC108" si="211">AA103-AA104</f>
        <v>0</v>
      </c>
      <c r="AB108" s="375">
        <f t="shared" si="211"/>
        <v>1602312</v>
      </c>
      <c r="AC108" s="375">
        <f t="shared" si="211"/>
        <v>3524355</v>
      </c>
      <c r="AD108" s="375">
        <f t="shared" ref="AD108:AJ108" si="212">AD103-AD104</f>
        <v>3446881</v>
      </c>
      <c r="AE108" s="375">
        <f t="shared" si="212"/>
        <v>-1038.3912254606325</v>
      </c>
      <c r="AF108" s="375">
        <f t="shared" si="212"/>
        <v>-2035101</v>
      </c>
      <c r="AG108" s="375">
        <f>AG103-AG104</f>
        <v>-55238</v>
      </c>
      <c r="AH108" s="375">
        <f>AH103-AH104</f>
        <v>-66285.599999986589</v>
      </c>
      <c r="AI108" s="375">
        <f t="shared" si="212"/>
        <v>-7047600.200000003</v>
      </c>
      <c r="AJ108" s="375">
        <f t="shared" si="212"/>
        <v>-511541</v>
      </c>
      <c r="AK108" s="375">
        <f t="shared" ref="AK108:AU108" si="213">AK103-AK104</f>
        <v>-1750000</v>
      </c>
      <c r="AL108" s="375">
        <f t="shared" si="213"/>
        <v>-314000</v>
      </c>
      <c r="AM108" s="375">
        <f t="shared" si="213"/>
        <v>3706367</v>
      </c>
      <c r="AN108" s="375">
        <f t="shared" si="213"/>
        <v>-4610730</v>
      </c>
      <c r="AO108" s="375">
        <f t="shared" si="213"/>
        <v>-1232941</v>
      </c>
      <c r="AP108" s="65">
        <f t="shared" si="213"/>
        <v>0</v>
      </c>
      <c r="AQ108" s="65">
        <f t="shared" si="213"/>
        <v>2281103</v>
      </c>
      <c r="AR108" s="65">
        <f t="shared" si="213"/>
        <v>1087684</v>
      </c>
      <c r="AS108" s="65"/>
      <c r="AT108" s="65">
        <f t="shared" si="213"/>
        <v>2788197</v>
      </c>
      <c r="AU108" s="65">
        <f t="shared" si="213"/>
        <v>-2906079</v>
      </c>
      <c r="AV108" s="259"/>
      <c r="AW108" s="316">
        <f t="shared" ref="AW108:AX108" si="214">AW103-AW104</f>
        <v>0</v>
      </c>
      <c r="AX108" s="316">
        <f t="shared" si="214"/>
        <v>0</v>
      </c>
      <c r="AY108" s="316">
        <f t="shared" ref="AY108:BE108" si="215">AY103-AY104</f>
        <v>0</v>
      </c>
      <c r="AZ108" s="316">
        <f t="shared" si="215"/>
        <v>0</v>
      </c>
      <c r="BA108" s="316">
        <f t="shared" si="215"/>
        <v>603247</v>
      </c>
      <c r="BB108" s="501">
        <f t="shared" si="215"/>
        <v>0</v>
      </c>
      <c r="BC108" s="510">
        <f t="shared" si="215"/>
        <v>0</v>
      </c>
      <c r="BD108" s="510">
        <f t="shared" si="215"/>
        <v>3565293</v>
      </c>
      <c r="BE108" s="501">
        <f t="shared" si="215"/>
        <v>4421791</v>
      </c>
      <c r="BF108" s="501">
        <f t="shared" ref="BF108:BG108" si="216">BF103-BF104</f>
        <v>3554628</v>
      </c>
      <c r="BG108" s="359">
        <f t="shared" si="216"/>
        <v>8779789.6363636255</v>
      </c>
      <c r="BH108" s="359">
        <f>BH103-BH104</f>
        <v>0</v>
      </c>
      <c r="BI108" s="65">
        <f>BI103-BI104</f>
        <v>0</v>
      </c>
      <c r="BJ108" s="65">
        <f t="shared" ref="BJ108:BK108" si="217">BJ103-BJ104</f>
        <v>4473021</v>
      </c>
      <c r="BK108" s="65">
        <f t="shared" si="217"/>
        <v>6028385</v>
      </c>
      <c r="BL108" s="65">
        <f t="shared" ref="BL108" si="218">BL103-BL104</f>
        <v>0</v>
      </c>
      <c r="BM108" s="65">
        <f t="shared" ref="BM108" si="219">BM103-BM104</f>
        <v>-7.9999998211860657E-2</v>
      </c>
      <c r="BN108" s="65">
        <f t="shared" ref="BN108:BO108" si="220">BN103-BN104</f>
        <v>-7.9999998211860657E-2</v>
      </c>
      <c r="BO108" s="65">
        <f t="shared" si="220"/>
        <v>3549135</v>
      </c>
      <c r="BP108" s="65">
        <f t="shared" ref="BP108:BQ108" si="221">BP103-BP104</f>
        <v>0.40000000596046448</v>
      </c>
      <c r="BQ108" s="65">
        <f t="shared" si="221"/>
        <v>0.4400000125169754</v>
      </c>
      <c r="BR108" s="65">
        <f t="shared" ref="BR108:BS108" si="222">BR103-BR104</f>
        <v>7.9999998211860657E-2</v>
      </c>
      <c r="BS108" s="65">
        <f t="shared" si="222"/>
        <v>-9.0000003576278687E-2</v>
      </c>
      <c r="BT108" s="222">
        <f>BT103-BT104</f>
        <v>-9.0000003576278687E-2</v>
      </c>
      <c r="BU108" s="222">
        <f>BU103-BU104</f>
        <v>0</v>
      </c>
      <c r="BV108" s="65">
        <f>BV103-BV104</f>
        <v>0</v>
      </c>
    </row>
    <row r="109" spans="1:74" x14ac:dyDescent="0.25">
      <c r="A109" s="11"/>
      <c r="B109" s="12"/>
      <c r="C109" s="71"/>
      <c r="D109" s="71"/>
      <c r="E109" s="71"/>
      <c r="F109" s="317"/>
      <c r="G109" s="317"/>
      <c r="H109" s="317"/>
      <c r="I109" s="317"/>
      <c r="J109" s="71"/>
      <c r="K109" s="71"/>
      <c r="L109" s="71"/>
      <c r="M109" s="71"/>
      <c r="O109" s="71"/>
      <c r="P109" s="71"/>
      <c r="Q109" s="71"/>
      <c r="R109" s="71"/>
      <c r="S109" s="71"/>
      <c r="T109" s="71"/>
      <c r="U109" s="71"/>
      <c r="V109" s="71"/>
      <c r="W109" s="71"/>
      <c r="X109" s="125"/>
      <c r="AB109" s="71"/>
      <c r="AC109" s="71"/>
      <c r="AD109" s="71"/>
      <c r="AE109" s="125"/>
      <c r="AF109" s="71"/>
      <c r="AG109" s="71"/>
      <c r="AH109" s="71"/>
      <c r="AI109" s="211"/>
      <c r="AJ109" s="211"/>
      <c r="AK109" s="211"/>
      <c r="AL109" s="211"/>
      <c r="AP109" s="211"/>
      <c r="AQ109" s="211"/>
      <c r="AR109" s="211"/>
      <c r="AT109" s="211"/>
      <c r="AU109"/>
      <c r="AV109"/>
      <c r="AW109" s="211"/>
      <c r="BC109" s="507"/>
      <c r="BD109" s="507"/>
    </row>
    <row r="110" spans="1:74" x14ac:dyDescent="0.25">
      <c r="B110" s="450"/>
      <c r="C110" s="71"/>
      <c r="D110" s="71"/>
      <c r="E110" s="71"/>
      <c r="F110" s="317"/>
      <c r="G110" s="317"/>
      <c r="H110" s="317"/>
      <c r="I110" s="317"/>
      <c r="J110" s="71"/>
      <c r="K110" s="71"/>
      <c r="L110" s="71"/>
      <c r="M110" s="71"/>
      <c r="O110" s="71"/>
      <c r="P110" s="71"/>
      <c r="Q110" s="71"/>
      <c r="R110" s="71"/>
      <c r="S110" s="71"/>
      <c r="T110" s="71"/>
      <c r="U110" s="71"/>
      <c r="V110" s="71"/>
      <c r="W110" s="71"/>
      <c r="X110" s="125"/>
      <c r="AB110" s="71"/>
      <c r="AC110" s="71"/>
      <c r="AD110" s="71"/>
      <c r="AE110" s="125"/>
      <c r="AF110" s="71"/>
      <c r="AG110" s="71"/>
      <c r="AH110" s="71"/>
      <c r="AI110" s="211"/>
      <c r="AJ110" s="211"/>
      <c r="AK110" s="211"/>
      <c r="AL110" s="211"/>
      <c r="AP110" s="211"/>
      <c r="AQ110" s="211"/>
      <c r="AR110" s="211"/>
      <c r="AT110" s="211"/>
      <c r="AU110"/>
      <c r="AV110"/>
      <c r="AW110" s="211"/>
      <c r="BC110" s="507"/>
      <c r="BD110" s="507"/>
    </row>
    <row r="111" spans="1:74" x14ac:dyDescent="0.25">
      <c r="B111" s="450"/>
      <c r="C111" s="71"/>
      <c r="D111" s="71"/>
      <c r="E111" s="71"/>
      <c r="F111" s="317"/>
      <c r="G111" s="317"/>
      <c r="H111" s="317"/>
      <c r="I111" s="317"/>
      <c r="J111" s="71"/>
      <c r="K111" s="71"/>
      <c r="L111" s="71"/>
      <c r="M111" s="71"/>
      <c r="O111" s="71"/>
      <c r="P111" s="71"/>
      <c r="Q111" s="71"/>
      <c r="R111" s="71"/>
      <c r="S111" s="71"/>
      <c r="T111" s="71"/>
      <c r="U111" s="71"/>
      <c r="V111" s="71"/>
      <c r="W111" s="71"/>
      <c r="X111" s="125"/>
      <c r="AB111" s="71"/>
      <c r="AC111" s="71"/>
      <c r="AD111" s="71"/>
      <c r="AE111" s="125"/>
      <c r="AF111" s="71"/>
      <c r="AG111" s="71"/>
      <c r="AH111" s="71"/>
      <c r="AI111" s="211"/>
      <c r="AJ111" s="211"/>
      <c r="AK111" s="211"/>
      <c r="AL111" s="211"/>
      <c r="AP111" s="211"/>
      <c r="AQ111" s="211"/>
      <c r="AR111" s="211"/>
      <c r="AT111" s="211"/>
      <c r="AU111"/>
      <c r="AV111"/>
      <c r="AW111" s="211"/>
      <c r="BC111" s="507"/>
      <c r="BD111" s="507"/>
    </row>
    <row r="112" spans="1:74" x14ac:dyDescent="0.25">
      <c r="B112" s="450"/>
      <c r="C112" s="71"/>
      <c r="D112" s="71"/>
      <c r="E112" s="71"/>
      <c r="F112" s="317"/>
      <c r="G112" s="317"/>
      <c r="H112" s="317"/>
      <c r="I112" s="317"/>
      <c r="J112" s="71"/>
      <c r="K112" s="71"/>
      <c r="L112" s="71"/>
      <c r="M112" s="71"/>
      <c r="O112" s="71"/>
      <c r="P112" s="71"/>
      <c r="Q112" s="71"/>
      <c r="R112" s="71"/>
      <c r="S112" s="71"/>
      <c r="T112" s="71"/>
      <c r="U112" s="71"/>
      <c r="V112" s="71"/>
      <c r="W112" s="71"/>
      <c r="X112" s="125"/>
      <c r="AB112" s="71"/>
      <c r="AC112" s="71"/>
      <c r="AD112" s="71"/>
      <c r="AE112" s="125"/>
      <c r="AF112" s="71"/>
      <c r="AG112" s="71"/>
      <c r="AH112" s="71"/>
      <c r="AI112" s="211"/>
      <c r="AJ112" s="211"/>
      <c r="AK112" s="211"/>
      <c r="AL112" s="211"/>
      <c r="AP112" s="211"/>
      <c r="AQ112" s="211"/>
      <c r="AR112" s="211"/>
      <c r="AT112" s="211"/>
      <c r="AU112"/>
      <c r="AV112"/>
      <c r="AW112" s="211"/>
      <c r="BC112" s="507"/>
      <c r="BD112" s="507"/>
    </row>
    <row r="113" spans="2:69" x14ac:dyDescent="0.25">
      <c r="B113" s="450"/>
      <c r="C113" s="71"/>
      <c r="D113" s="71"/>
      <c r="E113" s="71"/>
      <c r="F113" s="317"/>
      <c r="G113" s="317"/>
      <c r="H113" s="317"/>
      <c r="I113" s="317"/>
      <c r="J113" s="71"/>
      <c r="K113" s="71"/>
      <c r="L113" s="71"/>
      <c r="M113" s="71"/>
      <c r="O113" s="71"/>
      <c r="P113" s="71"/>
      <c r="Q113" s="71"/>
      <c r="R113" s="71"/>
      <c r="S113" s="71"/>
      <c r="T113" s="71"/>
      <c r="U113" s="71"/>
      <c r="V113" s="71"/>
      <c r="W113" s="71"/>
      <c r="X113" s="125"/>
      <c r="AB113" s="71"/>
      <c r="AC113" s="71"/>
      <c r="AD113" s="71"/>
      <c r="AE113" s="125"/>
      <c r="AF113" s="71"/>
      <c r="AG113" s="71"/>
      <c r="AH113" s="71"/>
      <c r="AI113" s="211"/>
      <c r="AJ113" s="211"/>
      <c r="AK113" s="211"/>
      <c r="AL113" s="211"/>
      <c r="AP113" s="211"/>
      <c r="AQ113" s="211"/>
      <c r="AR113" s="211"/>
      <c r="AT113" s="211"/>
      <c r="AU113"/>
      <c r="AV113"/>
      <c r="AW113" s="211"/>
      <c r="BC113" s="507"/>
      <c r="BD113" s="507"/>
    </row>
    <row r="114" spans="2:69" x14ac:dyDescent="0.25">
      <c r="B114" s="450"/>
      <c r="C114" s="71"/>
      <c r="D114" s="71"/>
      <c r="E114" s="71"/>
      <c r="F114" s="317"/>
      <c r="G114" s="317"/>
      <c r="H114" s="317"/>
      <c r="I114" s="317"/>
      <c r="J114" s="71"/>
      <c r="K114" s="71"/>
      <c r="L114" s="71"/>
      <c r="M114" s="71"/>
      <c r="O114" s="71"/>
      <c r="P114" s="71"/>
      <c r="Q114" s="71"/>
      <c r="R114" s="71"/>
      <c r="S114" s="71"/>
      <c r="T114" s="71"/>
      <c r="U114" s="71"/>
      <c r="V114" s="71"/>
      <c r="W114" s="71"/>
      <c r="X114" s="125"/>
      <c r="AB114" s="71"/>
      <c r="AC114" s="71"/>
      <c r="AD114" s="71"/>
      <c r="AE114" s="125"/>
      <c r="AF114" s="71"/>
      <c r="AG114" s="71"/>
      <c r="AH114" s="71"/>
      <c r="AI114" s="211"/>
      <c r="AJ114" s="211"/>
      <c r="AK114" s="211"/>
      <c r="AL114" s="211"/>
      <c r="AP114" s="211"/>
      <c r="AQ114" s="211"/>
      <c r="AR114" s="211"/>
      <c r="AT114" s="211"/>
      <c r="AU114"/>
      <c r="AV114"/>
      <c r="AW114" s="211"/>
      <c r="BC114" s="507"/>
      <c r="BD114" s="507"/>
    </row>
    <row r="115" spans="2:69" x14ac:dyDescent="0.25">
      <c r="B115" s="450"/>
      <c r="C115" s="71"/>
      <c r="D115" s="71"/>
      <c r="E115" s="71"/>
      <c r="F115" s="317"/>
      <c r="G115" s="317"/>
      <c r="H115" s="317"/>
      <c r="I115" s="317"/>
      <c r="J115" s="71"/>
      <c r="K115" s="71"/>
      <c r="L115" s="71"/>
      <c r="M115" s="71"/>
      <c r="O115" s="71"/>
      <c r="P115" s="71"/>
      <c r="Q115" s="71"/>
      <c r="R115" s="71"/>
      <c r="S115" s="71"/>
      <c r="T115" s="71"/>
      <c r="U115" s="71"/>
      <c r="V115" s="71"/>
      <c r="W115" s="71"/>
      <c r="X115" s="125"/>
      <c r="AB115" s="71"/>
      <c r="AC115" s="71"/>
      <c r="AD115" s="71"/>
      <c r="AE115" s="125"/>
      <c r="AF115" s="71"/>
      <c r="AG115" s="71"/>
      <c r="AH115" s="71"/>
      <c r="AI115" s="211"/>
      <c r="AJ115" s="211"/>
      <c r="AK115" s="211"/>
      <c r="AL115" s="211"/>
      <c r="AP115" s="211"/>
      <c r="AQ115" s="211"/>
      <c r="AR115" s="211"/>
      <c r="AT115" s="211"/>
      <c r="AU115"/>
      <c r="AV115"/>
      <c r="AW115" s="211"/>
      <c r="BC115" s="507"/>
      <c r="BD115" s="507"/>
    </row>
    <row r="116" spans="2:69" x14ac:dyDescent="0.25">
      <c r="B116" s="450"/>
      <c r="C116" s="71"/>
      <c r="D116" s="71"/>
      <c r="E116" s="71"/>
      <c r="F116" s="317"/>
      <c r="G116" s="317"/>
      <c r="H116" s="317"/>
      <c r="I116" s="317"/>
      <c r="J116" s="71"/>
      <c r="K116" s="71"/>
      <c r="L116" s="71"/>
      <c r="M116" s="71"/>
      <c r="O116" s="71"/>
      <c r="P116" s="71"/>
      <c r="Q116" s="71"/>
      <c r="R116" s="71"/>
      <c r="S116" s="71"/>
      <c r="T116" s="71"/>
      <c r="U116" s="71"/>
      <c r="V116" s="71"/>
      <c r="W116" s="71"/>
      <c r="X116" s="125"/>
      <c r="AB116" s="71"/>
      <c r="AC116" s="71"/>
      <c r="AD116" s="71"/>
      <c r="AE116" s="125"/>
      <c r="AF116" s="71"/>
      <c r="AG116" s="71"/>
      <c r="AH116" s="71"/>
      <c r="AI116" s="211"/>
      <c r="AJ116" s="211"/>
      <c r="AK116" s="211"/>
      <c r="AL116" s="211"/>
      <c r="AP116" s="211"/>
      <c r="AQ116" s="211"/>
      <c r="AR116" s="211"/>
      <c r="AT116" s="211"/>
      <c r="AU116"/>
      <c r="AV116"/>
      <c r="AW116" s="211"/>
      <c r="BC116" s="507"/>
      <c r="BD116" s="507"/>
    </row>
    <row r="117" spans="2:69" x14ac:dyDescent="0.25">
      <c r="B117" s="450"/>
      <c r="C117" s="71"/>
      <c r="D117" s="71"/>
      <c r="E117" s="71"/>
      <c r="F117" s="317"/>
      <c r="G117" s="317"/>
      <c r="H117" s="317"/>
      <c r="I117" s="317"/>
      <c r="J117" s="71"/>
      <c r="K117" s="71"/>
      <c r="L117" s="71"/>
      <c r="M117" s="71"/>
      <c r="O117" s="71"/>
      <c r="P117" s="71"/>
      <c r="Q117" s="71"/>
      <c r="R117" s="71"/>
      <c r="S117" s="71"/>
      <c r="T117" s="71"/>
      <c r="U117" s="71"/>
      <c r="V117" s="71"/>
      <c r="W117" s="71"/>
      <c r="X117" s="125"/>
      <c r="AB117" s="71"/>
      <c r="AC117" s="71"/>
      <c r="AD117" s="71"/>
      <c r="AE117" s="125"/>
      <c r="AF117" s="71"/>
      <c r="AG117" s="71"/>
      <c r="AH117" s="71"/>
      <c r="AI117" s="211"/>
      <c r="AJ117" s="211"/>
      <c r="AK117" s="211"/>
      <c r="AL117" s="211"/>
      <c r="AP117" s="211"/>
      <c r="AQ117" s="211"/>
      <c r="AR117" s="211"/>
      <c r="AT117" s="211"/>
      <c r="AU117"/>
      <c r="AV117"/>
      <c r="AW117" s="211"/>
      <c r="BC117" s="507"/>
      <c r="BD117" s="507"/>
      <c r="BQ117" s="52"/>
    </row>
    <row r="118" spans="2:69" x14ac:dyDescent="0.25">
      <c r="B118" s="450"/>
      <c r="C118" s="71"/>
      <c r="D118" s="71"/>
      <c r="E118" s="71"/>
      <c r="F118" s="317"/>
      <c r="G118" s="317"/>
      <c r="H118" s="317"/>
      <c r="I118" s="317"/>
      <c r="J118" s="71"/>
      <c r="K118" s="71"/>
      <c r="L118" s="71"/>
      <c r="M118" s="71"/>
      <c r="O118" s="71"/>
      <c r="P118" s="71"/>
      <c r="Q118" s="71"/>
      <c r="R118" s="71"/>
      <c r="S118" s="71"/>
      <c r="T118" s="71"/>
      <c r="U118" s="71"/>
      <c r="V118" s="71"/>
      <c r="W118" s="71"/>
      <c r="X118" s="125"/>
      <c r="AB118" s="71"/>
      <c r="AC118" s="71"/>
      <c r="AD118" s="71"/>
      <c r="AE118" s="125"/>
      <c r="AF118" s="71"/>
      <c r="AG118" s="71"/>
      <c r="AH118" s="71"/>
      <c r="AI118" s="211"/>
      <c r="AJ118" s="211"/>
      <c r="AK118" s="211"/>
      <c r="AL118" s="211"/>
      <c r="AP118" s="211"/>
      <c r="AQ118" s="211"/>
      <c r="AR118" s="211"/>
      <c r="AT118" s="211"/>
      <c r="AU118"/>
      <c r="AV118"/>
      <c r="AW118" s="211"/>
      <c r="BC118" s="507"/>
      <c r="BD118" s="507"/>
    </row>
    <row r="119" spans="2:69" x14ac:dyDescent="0.25">
      <c r="B119" s="450"/>
      <c r="C119" s="71"/>
      <c r="D119" s="71"/>
      <c r="E119" s="71"/>
      <c r="F119" s="317"/>
      <c r="G119" s="317"/>
      <c r="H119" s="317"/>
      <c r="I119" s="317"/>
      <c r="J119" s="71"/>
      <c r="K119" s="71"/>
      <c r="L119" s="71"/>
      <c r="M119" s="71"/>
      <c r="O119" s="71"/>
      <c r="P119" s="71"/>
      <c r="Q119" s="71"/>
      <c r="R119" s="71"/>
      <c r="S119" s="71"/>
      <c r="T119" s="71"/>
      <c r="U119" s="71"/>
      <c r="V119" s="71"/>
      <c r="W119" s="71"/>
      <c r="X119" s="125"/>
      <c r="AB119" s="71"/>
      <c r="AC119" s="71"/>
      <c r="AD119" s="71"/>
      <c r="AE119" s="125"/>
      <c r="AF119" s="71"/>
      <c r="AG119" s="71"/>
      <c r="AH119" s="71"/>
      <c r="AI119" s="211"/>
      <c r="AJ119" s="211"/>
      <c r="AK119" s="211"/>
      <c r="AL119" s="211"/>
      <c r="AP119" s="211"/>
      <c r="AQ119" s="211"/>
      <c r="AR119" s="211"/>
      <c r="AT119" s="211"/>
      <c r="AU119"/>
      <c r="AV119"/>
      <c r="AW119" s="211"/>
      <c r="BC119" s="507"/>
      <c r="BD119" s="507"/>
    </row>
    <row r="120" spans="2:69" x14ac:dyDescent="0.25">
      <c r="B120" s="450"/>
      <c r="C120" s="71"/>
      <c r="D120" s="71"/>
      <c r="E120" s="71"/>
      <c r="F120" s="317"/>
      <c r="G120" s="317"/>
      <c r="H120" s="317"/>
      <c r="I120" s="317"/>
      <c r="J120" s="71"/>
      <c r="K120" s="71"/>
      <c r="L120" s="71"/>
      <c r="M120" s="71"/>
      <c r="O120" s="71"/>
      <c r="P120" s="71"/>
      <c r="Q120" s="71"/>
      <c r="R120" s="71"/>
      <c r="S120" s="71"/>
      <c r="T120" s="71"/>
      <c r="U120" s="71"/>
      <c r="V120" s="71"/>
      <c r="W120" s="71"/>
      <c r="X120" s="125"/>
      <c r="AB120" s="71"/>
      <c r="AC120" s="71"/>
      <c r="AD120" s="71"/>
      <c r="AE120" s="125"/>
      <c r="AF120" s="71"/>
      <c r="AG120" s="71"/>
      <c r="AH120" s="71"/>
      <c r="AI120" s="211"/>
      <c r="AJ120" s="211"/>
      <c r="AK120" s="211"/>
      <c r="AL120" s="211"/>
      <c r="AP120" s="211"/>
      <c r="AQ120" s="211"/>
      <c r="AR120" s="211"/>
      <c r="AT120" s="211"/>
      <c r="AU120"/>
      <c r="AV120"/>
      <c r="AW120" s="211"/>
      <c r="BC120" s="507"/>
      <c r="BD120" s="507"/>
    </row>
    <row r="121" spans="2:69" x14ac:dyDescent="0.25">
      <c r="B121" s="450"/>
      <c r="C121" s="71"/>
      <c r="D121" s="71"/>
      <c r="E121" s="71"/>
      <c r="F121" s="317"/>
      <c r="G121" s="317"/>
      <c r="H121" s="317"/>
      <c r="I121" s="317"/>
      <c r="J121" s="71"/>
      <c r="K121" s="71"/>
      <c r="L121" s="71"/>
      <c r="M121" s="71"/>
      <c r="O121" s="71"/>
      <c r="P121" s="71"/>
      <c r="Q121" s="71"/>
      <c r="R121" s="71"/>
      <c r="S121" s="71"/>
      <c r="T121" s="71"/>
      <c r="U121" s="71"/>
      <c r="V121" s="71"/>
      <c r="W121" s="71"/>
      <c r="X121" s="125"/>
      <c r="AB121" s="71"/>
      <c r="AC121" s="71"/>
      <c r="AD121" s="71"/>
      <c r="AE121" s="125"/>
      <c r="AF121" s="71"/>
      <c r="AG121" s="71"/>
      <c r="AH121" s="71"/>
      <c r="AI121" s="211"/>
      <c r="AJ121" s="211"/>
      <c r="AK121" s="211"/>
      <c r="AL121" s="211"/>
      <c r="AP121" s="211"/>
      <c r="AQ121" s="211"/>
      <c r="AR121" s="211"/>
      <c r="AT121" s="211"/>
      <c r="AU121"/>
      <c r="AV121"/>
      <c r="AW121" s="211"/>
      <c r="BC121" s="507"/>
      <c r="BD121" s="507"/>
    </row>
    <row r="122" spans="2:69" x14ac:dyDescent="0.25">
      <c r="B122" s="450"/>
      <c r="C122" s="71"/>
      <c r="D122" s="71"/>
      <c r="E122" s="71"/>
      <c r="F122" s="317"/>
      <c r="G122" s="317"/>
      <c r="H122" s="317"/>
      <c r="I122" s="317"/>
      <c r="J122" s="71"/>
      <c r="K122" s="71"/>
      <c r="L122" s="71"/>
      <c r="M122" s="71"/>
      <c r="O122" s="71"/>
      <c r="P122" s="71"/>
      <c r="Q122" s="71"/>
      <c r="R122" s="71"/>
      <c r="S122" s="71"/>
      <c r="T122" s="71"/>
      <c r="U122" s="71"/>
      <c r="V122" s="71"/>
      <c r="W122" s="71"/>
      <c r="X122" s="125"/>
      <c r="AB122" s="71"/>
      <c r="AC122" s="71"/>
      <c r="AD122" s="71"/>
      <c r="AE122" s="125"/>
      <c r="AF122" s="71"/>
      <c r="AG122" s="71"/>
      <c r="AH122" s="71"/>
      <c r="AI122" s="211"/>
      <c r="AJ122" s="211"/>
      <c r="AK122" s="211"/>
      <c r="AL122" s="211"/>
      <c r="AP122" s="211"/>
      <c r="AQ122" s="211"/>
      <c r="AR122" s="211"/>
      <c r="AT122" s="211"/>
      <c r="AU122"/>
      <c r="AV122"/>
      <c r="AW122" s="211"/>
      <c r="BC122" s="507"/>
      <c r="BD122" s="507"/>
    </row>
    <row r="123" spans="2:69" x14ac:dyDescent="0.25">
      <c r="B123" s="450"/>
      <c r="C123" s="71"/>
      <c r="D123" s="71"/>
      <c r="E123" s="71"/>
      <c r="F123" s="317"/>
      <c r="G123" s="317"/>
      <c r="H123" s="317"/>
      <c r="I123" s="317"/>
      <c r="J123" s="71"/>
      <c r="K123" s="71"/>
      <c r="L123" s="71"/>
      <c r="M123" s="71"/>
      <c r="O123" s="71"/>
      <c r="P123" s="71"/>
      <c r="Q123" s="71"/>
      <c r="R123" s="71"/>
      <c r="S123" s="71"/>
      <c r="T123" s="71"/>
      <c r="U123" s="71"/>
      <c r="V123" s="71"/>
      <c r="W123" s="71"/>
      <c r="X123" s="125"/>
      <c r="AB123" s="71"/>
      <c r="AC123" s="71"/>
      <c r="AD123" s="71"/>
      <c r="AE123" s="125"/>
      <c r="AF123" s="71"/>
      <c r="AG123" s="71"/>
      <c r="AH123" s="71"/>
      <c r="AI123" s="211"/>
      <c r="AJ123" s="211"/>
      <c r="AK123" s="211"/>
      <c r="AL123" s="211"/>
      <c r="AP123" s="211"/>
      <c r="AQ123" s="211"/>
      <c r="AR123" s="211"/>
      <c r="AT123" s="211"/>
      <c r="AU123"/>
      <c r="AV123"/>
      <c r="AW123" s="211"/>
      <c r="BC123" s="507"/>
      <c r="BD123" s="507"/>
    </row>
    <row r="124" spans="2:69" x14ac:dyDescent="0.25">
      <c r="B124" s="450"/>
      <c r="C124" s="71"/>
      <c r="D124" s="71"/>
      <c r="E124" s="71"/>
      <c r="F124" s="317"/>
      <c r="G124" s="317"/>
      <c r="H124" s="317"/>
      <c r="I124" s="317"/>
      <c r="J124" s="71"/>
      <c r="K124" s="71"/>
      <c r="L124" s="71"/>
      <c r="M124" s="71"/>
      <c r="O124" s="71"/>
      <c r="P124" s="71"/>
      <c r="Q124" s="71"/>
      <c r="R124" s="71"/>
      <c r="S124" s="71"/>
      <c r="T124" s="71"/>
      <c r="U124" s="71"/>
      <c r="V124" s="71"/>
      <c r="W124" s="71"/>
      <c r="X124" s="125"/>
      <c r="AB124" s="71"/>
      <c r="AC124" s="71"/>
      <c r="AD124" s="71"/>
      <c r="AE124" s="125"/>
      <c r="AF124" s="71"/>
      <c r="AG124" s="71"/>
      <c r="AH124" s="71"/>
      <c r="AI124" s="211"/>
      <c r="AJ124" s="211"/>
      <c r="AK124" s="211"/>
      <c r="AL124" s="211"/>
      <c r="AP124" s="211"/>
      <c r="AQ124" s="211"/>
      <c r="AR124" s="211"/>
      <c r="AT124" s="211"/>
      <c r="AU124"/>
      <c r="AV124"/>
      <c r="AW124" s="211"/>
      <c r="BC124" s="507"/>
      <c r="BD124" s="507"/>
    </row>
    <row r="125" spans="2:69" x14ac:dyDescent="0.25">
      <c r="B125" s="450"/>
      <c r="C125" s="71"/>
      <c r="D125" s="71"/>
      <c r="E125" s="71"/>
      <c r="F125" s="317"/>
      <c r="G125" s="317"/>
      <c r="H125" s="317"/>
      <c r="I125" s="317"/>
      <c r="J125" s="71"/>
      <c r="K125" s="71"/>
      <c r="L125" s="71"/>
      <c r="M125" s="71"/>
      <c r="O125" s="71"/>
      <c r="P125" s="71"/>
      <c r="Q125" s="71"/>
      <c r="R125" s="71"/>
      <c r="S125" s="71"/>
      <c r="T125" s="71"/>
      <c r="U125" s="71"/>
      <c r="V125" s="71"/>
      <c r="W125" s="71"/>
      <c r="X125" s="125"/>
      <c r="AB125" s="71"/>
      <c r="AC125" s="71"/>
      <c r="AD125" s="71"/>
      <c r="AE125" s="125"/>
      <c r="AF125" s="71"/>
      <c r="AG125" s="71"/>
      <c r="AH125" s="71"/>
      <c r="AI125" s="211"/>
      <c r="AJ125" s="211"/>
      <c r="AK125" s="211"/>
      <c r="AL125" s="211"/>
      <c r="AP125" s="211"/>
      <c r="AQ125" s="211"/>
      <c r="AR125" s="211"/>
      <c r="AT125" s="211"/>
      <c r="AU125"/>
      <c r="AV125"/>
      <c r="AW125" s="211"/>
      <c r="BC125" s="507"/>
      <c r="BD125" s="507"/>
    </row>
    <row r="126" spans="2:69" x14ac:dyDescent="0.25">
      <c r="B126" s="450"/>
      <c r="C126" s="71"/>
      <c r="D126" s="71"/>
      <c r="E126" s="71"/>
      <c r="F126" s="317"/>
      <c r="G126" s="317"/>
      <c r="H126" s="317"/>
      <c r="I126" s="317"/>
      <c r="J126" s="71"/>
      <c r="K126" s="71"/>
      <c r="L126" s="71"/>
      <c r="M126" s="71"/>
      <c r="O126" s="71"/>
      <c r="P126" s="71"/>
      <c r="Q126" s="71"/>
      <c r="R126" s="71"/>
      <c r="S126" s="71"/>
      <c r="T126" s="71"/>
      <c r="U126" s="71"/>
      <c r="V126" s="71"/>
      <c r="W126" s="71"/>
      <c r="X126" s="125"/>
      <c r="AB126" s="71"/>
      <c r="AC126" s="71"/>
      <c r="AD126" s="71"/>
      <c r="AE126" s="125"/>
      <c r="AF126" s="71"/>
      <c r="AG126" s="71"/>
      <c r="AH126" s="71"/>
      <c r="AI126" s="211"/>
      <c r="AJ126" s="211"/>
      <c r="AK126" s="211"/>
      <c r="AL126" s="211"/>
      <c r="AP126" s="211"/>
      <c r="AQ126" s="211"/>
      <c r="AR126" s="211"/>
      <c r="AT126" s="211"/>
      <c r="AU126"/>
      <c r="AV126"/>
      <c r="AW126" s="211"/>
      <c r="BC126" s="507"/>
      <c r="BD126" s="507"/>
    </row>
    <row r="127" spans="2:69" x14ac:dyDescent="0.25">
      <c r="B127" s="450"/>
      <c r="C127" s="71"/>
      <c r="D127" s="71"/>
      <c r="E127" s="71"/>
      <c r="F127" s="317"/>
      <c r="G127" s="317"/>
      <c r="H127" s="317"/>
      <c r="I127" s="317"/>
      <c r="J127" s="71"/>
      <c r="K127" s="71"/>
      <c r="L127" s="71"/>
      <c r="M127" s="71"/>
      <c r="O127" s="71"/>
      <c r="P127" s="71"/>
      <c r="Q127" s="71"/>
      <c r="R127" s="71"/>
      <c r="S127" s="71"/>
      <c r="T127" s="71"/>
      <c r="U127" s="71"/>
      <c r="V127" s="71"/>
      <c r="W127" s="71"/>
      <c r="X127" s="125"/>
      <c r="AB127" s="71"/>
      <c r="AC127" s="71"/>
      <c r="AD127" s="71"/>
      <c r="AE127" s="125"/>
      <c r="AF127" s="71"/>
      <c r="AG127" s="71"/>
      <c r="AH127" s="71"/>
      <c r="AI127" s="211"/>
      <c r="AJ127" s="211"/>
      <c r="AK127" s="211"/>
      <c r="AL127" s="211"/>
      <c r="AP127" s="211"/>
      <c r="AQ127" s="211"/>
      <c r="AR127" s="211"/>
      <c r="AT127" s="211"/>
      <c r="AU127"/>
      <c r="AV127"/>
      <c r="AW127" s="211"/>
      <c r="BC127" s="507"/>
      <c r="BD127" s="507"/>
    </row>
    <row r="128" spans="2:69" x14ac:dyDescent="0.25">
      <c r="B128" s="450"/>
      <c r="C128" s="71"/>
      <c r="D128" s="71"/>
      <c r="E128" s="71"/>
      <c r="F128" s="317"/>
      <c r="G128" s="317"/>
      <c r="H128" s="317"/>
      <c r="I128" s="317"/>
      <c r="J128" s="71"/>
      <c r="K128" s="71"/>
      <c r="L128" s="71"/>
      <c r="M128" s="71"/>
      <c r="O128" s="71"/>
      <c r="P128" s="71"/>
      <c r="Q128" s="71"/>
      <c r="R128" s="71"/>
      <c r="S128" s="71"/>
      <c r="T128" s="71"/>
      <c r="U128" s="71"/>
      <c r="V128" s="71"/>
      <c r="W128" s="71"/>
      <c r="X128" s="125"/>
      <c r="AB128" s="71"/>
      <c r="AC128" s="71"/>
      <c r="AD128" s="71"/>
      <c r="AE128" s="125"/>
      <c r="AF128" s="71"/>
      <c r="AG128" s="71"/>
      <c r="AH128" s="71"/>
      <c r="AI128" s="211"/>
      <c r="AJ128" s="211"/>
      <c r="AK128" s="211"/>
      <c r="AL128" s="211"/>
      <c r="AP128" s="211"/>
      <c r="AQ128" s="211"/>
      <c r="AR128" s="211"/>
      <c r="AT128" s="211"/>
      <c r="AU128"/>
      <c r="AV128"/>
      <c r="AW128" s="211"/>
      <c r="BC128" s="507"/>
      <c r="BD128" s="507"/>
    </row>
    <row r="129" spans="2:56" x14ac:dyDescent="0.25">
      <c r="B129" s="450"/>
      <c r="C129" s="71"/>
      <c r="D129" s="71"/>
      <c r="E129" s="71"/>
      <c r="F129" s="317"/>
      <c r="G129" s="317"/>
      <c r="H129" s="317"/>
      <c r="I129" s="317"/>
      <c r="J129" s="71"/>
      <c r="K129" s="71"/>
      <c r="L129" s="71"/>
      <c r="M129" s="71"/>
      <c r="O129" s="71"/>
      <c r="P129" s="71"/>
      <c r="Q129" s="71"/>
      <c r="R129" s="71"/>
      <c r="S129" s="71"/>
      <c r="T129" s="71"/>
      <c r="U129" s="71"/>
      <c r="V129" s="71"/>
      <c r="W129" s="71"/>
      <c r="X129" s="125"/>
      <c r="AB129" s="71"/>
      <c r="AC129" s="71"/>
      <c r="AD129" s="71"/>
      <c r="AE129" s="125"/>
      <c r="AF129" s="71"/>
      <c r="AG129" s="71"/>
      <c r="AH129" s="71"/>
      <c r="AI129" s="211"/>
      <c r="AJ129" s="211"/>
      <c r="AK129" s="211"/>
      <c r="AL129" s="211"/>
      <c r="AP129" s="211"/>
      <c r="AQ129" s="211"/>
      <c r="AR129" s="211"/>
      <c r="AT129" s="211"/>
      <c r="AU129"/>
      <c r="AV129"/>
      <c r="AW129" s="211"/>
      <c r="BC129" s="507"/>
      <c r="BD129" s="507"/>
    </row>
    <row r="130" spans="2:56" x14ac:dyDescent="0.25">
      <c r="B130" s="450"/>
      <c r="C130" s="71"/>
      <c r="D130" s="71"/>
      <c r="E130" s="71"/>
      <c r="F130" s="317"/>
      <c r="G130" s="317"/>
      <c r="H130" s="317"/>
      <c r="I130" s="317"/>
      <c r="J130" s="71"/>
      <c r="K130" s="71"/>
      <c r="L130" s="71"/>
      <c r="M130" s="71"/>
      <c r="O130" s="71"/>
      <c r="P130" s="71"/>
      <c r="Q130" s="71"/>
      <c r="R130" s="71"/>
      <c r="S130" s="71"/>
      <c r="T130" s="71"/>
      <c r="U130" s="71"/>
      <c r="V130" s="71"/>
      <c r="W130" s="71"/>
      <c r="X130" s="125"/>
      <c r="AB130" s="71"/>
      <c r="AC130" s="71"/>
      <c r="AD130" s="71"/>
      <c r="AE130" s="125"/>
      <c r="AF130" s="71"/>
      <c r="AG130" s="71"/>
      <c r="AH130" s="71"/>
      <c r="AI130" s="218"/>
      <c r="AJ130" s="211"/>
      <c r="AK130" s="211"/>
      <c r="AL130" s="211"/>
      <c r="AP130" s="211"/>
      <c r="AQ130" s="211"/>
      <c r="AR130" s="211"/>
      <c r="AT130" s="211"/>
      <c r="AU130"/>
      <c r="AV130"/>
      <c r="AW130" s="211"/>
      <c r="BC130" s="507"/>
      <c r="BD130" s="507"/>
    </row>
    <row r="131" spans="2:56" x14ac:dyDescent="0.25">
      <c r="B131" s="450"/>
      <c r="C131" s="71"/>
      <c r="D131" s="71"/>
      <c r="E131" s="71"/>
      <c r="F131" s="317"/>
      <c r="G131" s="317"/>
      <c r="H131" s="317"/>
      <c r="I131" s="317"/>
      <c r="J131" s="71"/>
      <c r="K131" s="71"/>
      <c r="L131" s="71"/>
      <c r="M131" s="71"/>
      <c r="O131" s="71"/>
      <c r="P131" s="71"/>
      <c r="Q131" s="71"/>
      <c r="R131" s="71"/>
      <c r="S131" s="71"/>
      <c r="T131" s="71"/>
      <c r="U131" s="71"/>
      <c r="V131" s="71"/>
      <c r="W131" s="71"/>
      <c r="X131" s="125"/>
      <c r="AB131" s="71"/>
      <c r="AC131" s="71"/>
      <c r="AD131" s="71"/>
      <c r="AE131" s="125"/>
      <c r="AF131" s="71"/>
      <c r="AG131" s="71"/>
      <c r="AH131" s="71"/>
      <c r="AI131" s="218"/>
      <c r="AJ131" s="211"/>
      <c r="AK131" s="211"/>
      <c r="AL131" s="211"/>
      <c r="AP131" s="211"/>
      <c r="AQ131" s="211"/>
      <c r="AR131" s="211"/>
      <c r="AT131" s="211"/>
      <c r="AU131"/>
      <c r="AV131"/>
      <c r="AW131" s="211"/>
      <c r="BC131" s="507"/>
      <c r="BD131" s="507"/>
    </row>
    <row r="132" spans="2:56" x14ac:dyDescent="0.25">
      <c r="B132" s="450"/>
      <c r="C132" s="71"/>
      <c r="D132" s="71"/>
      <c r="E132" s="71"/>
      <c r="F132" s="317"/>
      <c r="G132" s="317"/>
      <c r="H132" s="317"/>
      <c r="I132" s="317"/>
      <c r="J132" s="71"/>
      <c r="K132" s="71"/>
      <c r="L132" s="71"/>
      <c r="M132" s="71"/>
      <c r="O132" s="71"/>
      <c r="P132" s="71"/>
      <c r="Q132" s="71"/>
      <c r="R132" s="71"/>
      <c r="S132" s="71"/>
      <c r="T132" s="71"/>
      <c r="U132" s="71"/>
      <c r="V132" s="71"/>
      <c r="W132" s="71"/>
      <c r="X132" s="125"/>
      <c r="AB132" s="71"/>
      <c r="AC132" s="71"/>
      <c r="AD132" s="71"/>
      <c r="AE132" s="125"/>
      <c r="AF132" s="71"/>
      <c r="AG132" s="71"/>
      <c r="AH132" s="71"/>
      <c r="AI132" s="218"/>
      <c r="AJ132" s="211"/>
      <c r="AK132" s="211"/>
      <c r="AL132" s="211"/>
      <c r="AP132" s="211"/>
      <c r="AQ132" s="211"/>
      <c r="AR132" s="211"/>
      <c r="AT132" s="211"/>
      <c r="AU132"/>
      <c r="AV132"/>
      <c r="AW132" s="211"/>
      <c r="BC132" s="507"/>
      <c r="BD132" s="507"/>
    </row>
    <row r="133" spans="2:56" x14ac:dyDescent="0.25">
      <c r="B133" s="450"/>
      <c r="C133" s="71"/>
      <c r="D133" s="71"/>
      <c r="E133" s="71"/>
      <c r="F133" s="317"/>
      <c r="G133" s="317"/>
      <c r="H133" s="317"/>
      <c r="I133" s="317"/>
      <c r="J133" s="71"/>
      <c r="K133" s="71"/>
      <c r="L133" s="71"/>
      <c r="M133" s="71"/>
      <c r="O133" s="71"/>
      <c r="P133" s="71"/>
      <c r="Q133" s="71"/>
      <c r="R133" s="71"/>
      <c r="S133" s="71"/>
      <c r="T133" s="71"/>
      <c r="U133" s="71"/>
      <c r="V133" s="71"/>
      <c r="W133" s="71"/>
      <c r="X133" s="125"/>
      <c r="AB133" s="71"/>
      <c r="AC133" s="71"/>
      <c r="AD133" s="71"/>
      <c r="AE133" s="125"/>
      <c r="AF133" s="71"/>
      <c r="AG133" s="71"/>
      <c r="AH133" s="71"/>
      <c r="AI133" s="218"/>
      <c r="AJ133" s="211"/>
      <c r="AK133" s="211"/>
      <c r="AL133" s="211"/>
      <c r="AP133" s="211"/>
      <c r="AQ133" s="211"/>
      <c r="AR133" s="211"/>
      <c r="AT133" s="211"/>
      <c r="AU133"/>
      <c r="AV133"/>
      <c r="AW133" s="211"/>
      <c r="BC133" s="507"/>
      <c r="BD133" s="507"/>
    </row>
    <row r="134" spans="2:56" x14ac:dyDescent="0.25">
      <c r="B134" s="450"/>
      <c r="C134" s="71"/>
      <c r="D134" s="71"/>
      <c r="E134" s="71"/>
      <c r="F134" s="317"/>
      <c r="G134" s="317"/>
      <c r="H134" s="317"/>
      <c r="I134" s="317"/>
      <c r="J134" s="71"/>
      <c r="K134" s="71"/>
      <c r="L134" s="71"/>
      <c r="M134" s="71"/>
      <c r="O134" s="71"/>
      <c r="P134" s="71"/>
      <c r="Q134" s="71"/>
      <c r="R134" s="71"/>
      <c r="S134" s="71"/>
      <c r="T134" s="71"/>
      <c r="U134" s="71"/>
      <c r="V134" s="71"/>
      <c r="W134" s="71"/>
      <c r="X134" s="125"/>
      <c r="AB134" s="71"/>
      <c r="AC134" s="71"/>
      <c r="AD134" s="71"/>
      <c r="AE134" s="125"/>
      <c r="AF134" s="71"/>
      <c r="AG134" s="71"/>
      <c r="AH134" s="71"/>
      <c r="AI134" s="218"/>
      <c r="AJ134" s="211"/>
      <c r="AK134" s="211"/>
      <c r="AL134" s="211"/>
      <c r="AP134" s="211"/>
      <c r="AQ134" s="211"/>
      <c r="AR134" s="211"/>
      <c r="AT134" s="211"/>
      <c r="AU134"/>
      <c r="AV134"/>
      <c r="AW134" s="211"/>
      <c r="BC134" s="507"/>
      <c r="BD134" s="507"/>
    </row>
    <row r="135" spans="2:56" x14ac:dyDescent="0.25">
      <c r="B135" s="450"/>
      <c r="C135" s="71"/>
      <c r="D135" s="71"/>
      <c r="E135" s="71"/>
      <c r="F135" s="317"/>
      <c r="G135" s="317"/>
      <c r="H135" s="317"/>
      <c r="I135" s="317"/>
      <c r="J135" s="71"/>
      <c r="K135" s="71"/>
      <c r="L135" s="71"/>
      <c r="M135" s="71"/>
      <c r="O135" s="71"/>
      <c r="P135" s="71"/>
      <c r="Q135" s="71"/>
      <c r="R135" s="71"/>
      <c r="S135" s="71"/>
      <c r="T135" s="71"/>
      <c r="U135" s="71"/>
      <c r="V135" s="71"/>
      <c r="W135" s="71"/>
      <c r="X135" s="125"/>
      <c r="AB135" s="71"/>
      <c r="AC135" s="71"/>
      <c r="AD135" s="71"/>
      <c r="AE135" s="125"/>
      <c r="AF135" s="71"/>
      <c r="AG135" s="71"/>
      <c r="AH135" s="71"/>
      <c r="AI135" s="218"/>
      <c r="AJ135" s="211"/>
      <c r="AK135" s="211"/>
      <c r="AL135" s="211"/>
      <c r="AP135" s="211"/>
      <c r="AQ135" s="211"/>
      <c r="AR135" s="211"/>
      <c r="AT135" s="211"/>
      <c r="AU135"/>
      <c r="AV135"/>
      <c r="AW135" s="211"/>
      <c r="BC135" s="507"/>
      <c r="BD135" s="507"/>
    </row>
    <row r="136" spans="2:56" x14ac:dyDescent="0.25">
      <c r="B136" s="450"/>
      <c r="C136" s="71"/>
      <c r="D136" s="71"/>
      <c r="E136" s="71"/>
      <c r="F136" s="317"/>
      <c r="G136" s="317"/>
      <c r="H136" s="317"/>
      <c r="I136" s="317"/>
      <c r="J136" s="71"/>
      <c r="K136" s="71"/>
      <c r="L136" s="71"/>
      <c r="M136" s="71"/>
      <c r="O136" s="71"/>
      <c r="P136" s="71"/>
      <c r="Q136" s="71"/>
      <c r="R136" s="71"/>
      <c r="S136" s="71"/>
      <c r="T136" s="71"/>
      <c r="U136" s="71"/>
      <c r="V136" s="71"/>
      <c r="W136" s="71"/>
      <c r="X136" s="125"/>
      <c r="AB136" s="71"/>
      <c r="AC136" s="71"/>
      <c r="AD136" s="71"/>
      <c r="AE136" s="125"/>
      <c r="AF136" s="71"/>
      <c r="AG136" s="71"/>
      <c r="AH136" s="71"/>
      <c r="AI136" s="218"/>
      <c r="AJ136" s="211"/>
      <c r="AK136" s="211"/>
      <c r="AL136" s="211"/>
      <c r="AP136" s="211"/>
      <c r="AQ136" s="211"/>
      <c r="AR136" s="211"/>
      <c r="AT136" s="211"/>
      <c r="AU136"/>
      <c r="AV136"/>
      <c r="AW136" s="211"/>
      <c r="BC136" s="507"/>
      <c r="BD136" s="507"/>
    </row>
    <row r="137" spans="2:56" x14ac:dyDescent="0.25">
      <c r="B137" s="450"/>
      <c r="C137" s="71"/>
      <c r="D137" s="71"/>
      <c r="E137" s="71"/>
      <c r="F137" s="317"/>
      <c r="G137" s="317"/>
      <c r="H137" s="317"/>
      <c r="I137" s="317"/>
      <c r="J137" s="71"/>
      <c r="K137" s="71"/>
      <c r="L137" s="71"/>
      <c r="M137" s="71"/>
      <c r="O137" s="71"/>
      <c r="P137" s="71"/>
      <c r="Q137" s="71"/>
      <c r="R137" s="71"/>
      <c r="S137" s="71"/>
      <c r="T137" s="71"/>
      <c r="U137" s="71"/>
      <c r="V137" s="71"/>
      <c r="W137" s="71"/>
      <c r="X137" s="125"/>
      <c r="AB137" s="71"/>
      <c r="AC137" s="71"/>
      <c r="AD137" s="71"/>
      <c r="AE137" s="125"/>
      <c r="AF137" s="71"/>
      <c r="AG137" s="71"/>
      <c r="AH137" s="71"/>
      <c r="AI137" s="218"/>
      <c r="AJ137" s="211"/>
      <c r="AK137" s="211"/>
      <c r="AL137" s="211"/>
      <c r="AP137" s="211"/>
      <c r="AQ137" s="211"/>
      <c r="AR137" s="211"/>
      <c r="AT137" s="211"/>
      <c r="AU137"/>
      <c r="AV137"/>
      <c r="AW137" s="211"/>
      <c r="BC137" s="507"/>
      <c r="BD137" s="507"/>
    </row>
    <row r="138" spans="2:56" x14ac:dyDescent="0.25">
      <c r="B138" s="450"/>
      <c r="C138" s="71"/>
      <c r="D138" s="71"/>
      <c r="E138" s="71"/>
      <c r="F138" s="317"/>
      <c r="G138" s="317"/>
      <c r="H138" s="317"/>
      <c r="I138" s="317"/>
      <c r="J138" s="71"/>
      <c r="K138" s="71"/>
      <c r="L138" s="71"/>
      <c r="M138" s="71"/>
      <c r="O138" s="71"/>
      <c r="P138" s="71"/>
      <c r="Q138" s="71"/>
      <c r="R138" s="71"/>
      <c r="S138" s="71"/>
      <c r="T138" s="71"/>
      <c r="U138" s="71"/>
      <c r="V138" s="71"/>
      <c r="W138" s="71"/>
      <c r="X138" s="125"/>
      <c r="AB138" s="71"/>
      <c r="AC138" s="71"/>
      <c r="AD138" s="71"/>
      <c r="AE138" s="125"/>
      <c r="AF138" s="71"/>
      <c r="AG138" s="71"/>
      <c r="AH138" s="71"/>
      <c r="AI138" s="218"/>
      <c r="AJ138" s="211"/>
      <c r="AK138" s="211"/>
      <c r="AL138" s="211"/>
      <c r="AP138" s="211"/>
      <c r="AQ138" s="211"/>
      <c r="AR138" s="211"/>
      <c r="AT138" s="211"/>
      <c r="AU138"/>
      <c r="AV138"/>
      <c r="AW138" s="211"/>
      <c r="BC138" s="507"/>
      <c r="BD138" s="507"/>
    </row>
    <row r="139" spans="2:56" x14ac:dyDescent="0.25">
      <c r="B139" s="450"/>
      <c r="C139" s="71"/>
      <c r="D139" s="71"/>
      <c r="E139" s="71"/>
      <c r="F139" s="317"/>
      <c r="G139" s="317"/>
      <c r="H139" s="317"/>
      <c r="I139" s="317"/>
      <c r="J139" s="71"/>
      <c r="K139" s="71"/>
      <c r="L139" s="71"/>
      <c r="M139" s="71"/>
      <c r="O139" s="71"/>
      <c r="P139" s="71"/>
      <c r="Q139" s="71"/>
      <c r="R139" s="71"/>
      <c r="S139" s="71"/>
      <c r="T139" s="71"/>
      <c r="U139" s="71"/>
      <c r="V139" s="71"/>
      <c r="W139" s="71"/>
      <c r="X139" s="125"/>
      <c r="AB139" s="71"/>
      <c r="AC139" s="71"/>
      <c r="AD139" s="71"/>
      <c r="AE139" s="125"/>
      <c r="AF139" s="71"/>
      <c r="AG139" s="71"/>
      <c r="AH139" s="71"/>
      <c r="AI139" s="218"/>
      <c r="AJ139" s="211"/>
      <c r="AK139" s="211"/>
      <c r="AL139" s="211"/>
      <c r="AP139" s="211"/>
      <c r="AQ139" s="211"/>
      <c r="AR139" s="211"/>
      <c r="AT139" s="211"/>
      <c r="AU139"/>
      <c r="AV139"/>
      <c r="AW139" s="211"/>
      <c r="BC139" s="507"/>
      <c r="BD139" s="507"/>
    </row>
    <row r="140" spans="2:56" x14ac:dyDescent="0.25">
      <c r="B140" s="450"/>
      <c r="C140" s="71"/>
      <c r="D140" s="71"/>
      <c r="E140" s="71"/>
      <c r="F140" s="317"/>
      <c r="G140" s="317"/>
      <c r="H140" s="317"/>
      <c r="I140" s="317"/>
      <c r="J140" s="71"/>
      <c r="K140" s="71"/>
      <c r="L140" s="71"/>
      <c r="M140" s="71"/>
      <c r="O140" s="71"/>
      <c r="P140" s="71"/>
      <c r="Q140" s="71"/>
      <c r="R140" s="71"/>
      <c r="S140" s="71"/>
      <c r="T140" s="71"/>
      <c r="U140" s="71"/>
      <c r="V140" s="71"/>
      <c r="W140" s="71"/>
      <c r="X140" s="125"/>
      <c r="AB140" s="71"/>
      <c r="AC140" s="71"/>
      <c r="AD140" s="71"/>
      <c r="AE140" s="125"/>
      <c r="AF140" s="71"/>
      <c r="AG140" s="71"/>
      <c r="AH140" s="71"/>
      <c r="AI140" s="218"/>
      <c r="AJ140" s="211"/>
      <c r="AK140" s="211"/>
      <c r="AL140" s="211"/>
      <c r="AP140" s="211"/>
      <c r="AQ140" s="211"/>
      <c r="AR140" s="211"/>
      <c r="AT140" s="211"/>
      <c r="AU140"/>
      <c r="AV140"/>
      <c r="AW140" s="211"/>
      <c r="BC140" s="507"/>
      <c r="BD140" s="507"/>
    </row>
    <row r="141" spans="2:56" x14ac:dyDescent="0.25">
      <c r="B141" s="450"/>
      <c r="C141" s="71"/>
      <c r="D141" s="71"/>
      <c r="E141" s="71"/>
      <c r="F141" s="317"/>
      <c r="G141" s="317"/>
      <c r="H141" s="317"/>
      <c r="I141" s="317"/>
      <c r="J141" s="71"/>
      <c r="K141" s="71"/>
      <c r="L141" s="71"/>
      <c r="M141" s="71"/>
      <c r="O141" s="71"/>
      <c r="P141" s="71"/>
      <c r="Q141" s="71"/>
      <c r="R141" s="71"/>
      <c r="S141" s="71"/>
      <c r="T141" s="71"/>
      <c r="U141" s="71"/>
      <c r="V141" s="71"/>
      <c r="W141" s="71"/>
      <c r="X141" s="125"/>
      <c r="AB141" s="71"/>
      <c r="AC141" s="71"/>
      <c r="AD141" s="71"/>
      <c r="AE141" s="125"/>
      <c r="AF141" s="71"/>
      <c r="AG141" s="71"/>
      <c r="AH141" s="71"/>
      <c r="AI141" s="218"/>
      <c r="AJ141" s="211"/>
      <c r="AK141" s="211"/>
      <c r="AL141" s="211"/>
      <c r="AP141" s="211"/>
      <c r="AQ141" s="211"/>
      <c r="AR141" s="211"/>
      <c r="AT141" s="211"/>
      <c r="AU141"/>
      <c r="AV141"/>
      <c r="AW141" s="211"/>
      <c r="BC141" s="507"/>
      <c r="BD141" s="507"/>
    </row>
    <row r="142" spans="2:56" x14ac:dyDescent="0.25">
      <c r="B142" s="450"/>
      <c r="C142" s="71"/>
      <c r="D142" s="71"/>
      <c r="E142" s="71"/>
      <c r="F142" s="317"/>
      <c r="G142" s="317"/>
      <c r="H142" s="317"/>
      <c r="I142" s="317"/>
      <c r="J142" s="71"/>
      <c r="K142" s="71"/>
      <c r="L142" s="71"/>
      <c r="M142" s="71"/>
      <c r="O142" s="71"/>
      <c r="P142" s="71"/>
      <c r="Q142" s="71"/>
      <c r="R142" s="71"/>
      <c r="S142" s="71"/>
      <c r="T142" s="71"/>
      <c r="U142" s="71"/>
      <c r="V142" s="71"/>
      <c r="W142" s="71"/>
      <c r="X142" s="125"/>
      <c r="AB142" s="71"/>
      <c r="AC142" s="71"/>
      <c r="AD142" s="71"/>
      <c r="AE142" s="125"/>
      <c r="AF142" s="71"/>
      <c r="AG142" s="71"/>
      <c r="AH142" s="71"/>
      <c r="AI142" s="218"/>
      <c r="AJ142" s="211"/>
      <c r="AK142" s="211"/>
      <c r="AL142" s="211"/>
      <c r="AP142" s="211"/>
      <c r="AQ142" s="211"/>
      <c r="AR142" s="211"/>
      <c r="AT142" s="211"/>
      <c r="AU142"/>
      <c r="AV142"/>
      <c r="AW142" s="211"/>
      <c r="BC142" s="507"/>
      <c r="BD142" s="507"/>
    </row>
    <row r="143" spans="2:56" x14ac:dyDescent="0.25">
      <c r="B143" s="450"/>
      <c r="C143" s="71"/>
      <c r="D143" s="71"/>
      <c r="E143" s="71"/>
      <c r="F143" s="317"/>
      <c r="G143" s="317"/>
      <c r="H143" s="317"/>
      <c r="I143" s="317"/>
      <c r="J143" s="71"/>
      <c r="K143" s="71"/>
      <c r="L143" s="71"/>
      <c r="M143" s="71"/>
      <c r="O143" s="71"/>
      <c r="P143" s="71"/>
      <c r="Q143" s="71"/>
      <c r="R143" s="71"/>
      <c r="S143" s="71"/>
      <c r="T143" s="71"/>
      <c r="U143" s="71"/>
      <c r="V143" s="71"/>
      <c r="W143" s="71"/>
      <c r="X143" s="125"/>
      <c r="AB143" s="71"/>
      <c r="AC143" s="71"/>
      <c r="AD143" s="71"/>
      <c r="AE143" s="125"/>
      <c r="AF143" s="71"/>
      <c r="AG143" s="71"/>
      <c r="AH143" s="71"/>
      <c r="AI143" s="218"/>
      <c r="AJ143" s="211"/>
      <c r="AK143" s="211"/>
      <c r="AL143" s="211"/>
      <c r="AP143" s="211"/>
      <c r="AQ143" s="211"/>
      <c r="AR143" s="211"/>
      <c r="AT143" s="211"/>
      <c r="AU143"/>
      <c r="AV143"/>
      <c r="AW143" s="211"/>
      <c r="BC143" s="507"/>
      <c r="BD143" s="507"/>
    </row>
    <row r="144" spans="2:56" x14ac:dyDescent="0.25">
      <c r="B144" s="450"/>
      <c r="C144" s="71"/>
      <c r="D144" s="71"/>
      <c r="E144" s="71"/>
      <c r="F144" s="317"/>
      <c r="G144" s="317"/>
      <c r="H144" s="317"/>
      <c r="I144" s="317"/>
      <c r="J144" s="71"/>
      <c r="K144" s="71"/>
      <c r="L144" s="71"/>
      <c r="M144" s="71"/>
      <c r="O144" s="71"/>
      <c r="P144" s="71"/>
      <c r="Q144" s="71"/>
      <c r="R144" s="71"/>
      <c r="S144" s="71"/>
      <c r="T144" s="71"/>
      <c r="U144" s="71"/>
      <c r="V144" s="71"/>
      <c r="W144" s="71"/>
      <c r="X144" s="125"/>
      <c r="AB144" s="71"/>
      <c r="AC144" s="71"/>
      <c r="AD144" s="71"/>
      <c r="AE144" s="125"/>
      <c r="AF144" s="71"/>
      <c r="AG144" s="71"/>
      <c r="AH144" s="71"/>
      <c r="AI144" s="218"/>
      <c r="AJ144" s="211"/>
      <c r="AK144" s="211"/>
      <c r="AL144" s="211"/>
      <c r="AP144" s="211"/>
      <c r="AQ144" s="211"/>
      <c r="AR144" s="211"/>
      <c r="AT144" s="211"/>
      <c r="AU144"/>
      <c r="AV144"/>
      <c r="AW144" s="211"/>
      <c r="BC144" s="507"/>
      <c r="BD144" s="507"/>
    </row>
    <row r="145" spans="2:56" x14ac:dyDescent="0.25">
      <c r="B145" s="450"/>
      <c r="C145" s="71"/>
      <c r="D145" s="71"/>
      <c r="E145" s="71"/>
      <c r="F145" s="317"/>
      <c r="G145" s="317"/>
      <c r="H145" s="317"/>
      <c r="I145" s="317"/>
      <c r="J145" s="71"/>
      <c r="K145" s="71"/>
      <c r="L145" s="71"/>
      <c r="M145" s="71"/>
      <c r="O145" s="71"/>
      <c r="P145" s="71"/>
      <c r="Q145" s="71"/>
      <c r="R145" s="71"/>
      <c r="S145" s="71"/>
      <c r="T145" s="71"/>
      <c r="U145" s="71"/>
      <c r="V145" s="71"/>
      <c r="W145" s="71"/>
      <c r="X145" s="125"/>
      <c r="AB145" s="71"/>
      <c r="AC145" s="71"/>
      <c r="AD145" s="71"/>
      <c r="AE145" s="125"/>
      <c r="AF145" s="71"/>
      <c r="AG145" s="71"/>
      <c r="AH145" s="71"/>
      <c r="AI145" s="218"/>
      <c r="AJ145" s="211"/>
      <c r="AK145" s="211"/>
      <c r="AL145" s="211"/>
      <c r="AP145" s="211"/>
      <c r="AQ145" s="211"/>
      <c r="AR145" s="211"/>
      <c r="AT145" s="211"/>
      <c r="AU145"/>
      <c r="AV145"/>
      <c r="AW145" s="211"/>
      <c r="BC145" s="507"/>
      <c r="BD145" s="507"/>
    </row>
    <row r="146" spans="2:56" x14ac:dyDescent="0.25">
      <c r="B146" s="450"/>
      <c r="C146" s="71"/>
      <c r="D146" s="71"/>
      <c r="E146" s="71"/>
      <c r="F146" s="317"/>
      <c r="G146" s="317"/>
      <c r="H146" s="317"/>
      <c r="I146" s="317"/>
      <c r="J146" s="71"/>
      <c r="K146" s="71"/>
      <c r="L146" s="71"/>
      <c r="M146" s="71"/>
      <c r="O146" s="71"/>
      <c r="P146" s="71"/>
      <c r="Q146" s="71"/>
      <c r="R146" s="71"/>
      <c r="S146" s="71"/>
      <c r="T146" s="71"/>
      <c r="U146" s="71"/>
      <c r="V146" s="71"/>
      <c r="W146" s="71"/>
      <c r="X146" s="125"/>
      <c r="AB146" s="71"/>
      <c r="AC146" s="71"/>
      <c r="AD146" s="71"/>
      <c r="AE146" s="125"/>
      <c r="AF146" s="71"/>
      <c r="AG146" s="71"/>
      <c r="AH146" s="71"/>
      <c r="AI146" s="218"/>
      <c r="AJ146" s="211"/>
      <c r="AK146" s="211"/>
      <c r="AL146" s="211"/>
      <c r="AP146" s="211"/>
      <c r="AQ146" s="211"/>
      <c r="AR146" s="211"/>
      <c r="AT146" s="211"/>
      <c r="AU146"/>
      <c r="AV146"/>
      <c r="AW146" s="211"/>
      <c r="BC146" s="507"/>
      <c r="BD146" s="507"/>
    </row>
    <row r="147" spans="2:56" x14ac:dyDescent="0.25">
      <c r="B147" s="450"/>
      <c r="C147" s="71"/>
      <c r="D147" s="71"/>
      <c r="E147" s="71"/>
      <c r="F147" s="317"/>
      <c r="G147" s="317"/>
      <c r="H147" s="317"/>
      <c r="I147" s="317"/>
      <c r="J147" s="71"/>
      <c r="K147" s="71"/>
      <c r="L147" s="71"/>
      <c r="M147" s="71"/>
      <c r="O147" s="71"/>
      <c r="P147" s="71"/>
      <c r="Q147" s="71"/>
      <c r="R147" s="71"/>
      <c r="S147" s="71"/>
      <c r="T147" s="71"/>
      <c r="U147" s="71"/>
      <c r="V147" s="71"/>
      <c r="W147" s="71"/>
      <c r="X147" s="125"/>
      <c r="AB147" s="71"/>
      <c r="AC147" s="71"/>
      <c r="AD147" s="71"/>
      <c r="AE147" s="125"/>
      <c r="AF147" s="71"/>
      <c r="AG147" s="71"/>
      <c r="AH147" s="71"/>
      <c r="AI147" s="218"/>
      <c r="AJ147" s="211"/>
      <c r="AK147" s="211"/>
      <c r="AL147" s="211"/>
      <c r="AP147" s="211"/>
      <c r="AQ147" s="211"/>
      <c r="AR147" s="211"/>
      <c r="AT147" s="211"/>
      <c r="AU147"/>
      <c r="AV147"/>
      <c r="AW147" s="211"/>
      <c r="BC147" s="507"/>
      <c r="BD147" s="507"/>
    </row>
    <row r="148" spans="2:56" x14ac:dyDescent="0.25">
      <c r="B148" s="450"/>
      <c r="C148" s="71"/>
      <c r="D148" s="71"/>
      <c r="E148" s="71"/>
      <c r="F148" s="317"/>
      <c r="G148" s="317"/>
      <c r="H148" s="317"/>
      <c r="I148" s="317"/>
      <c r="J148" s="71"/>
      <c r="K148" s="71"/>
      <c r="L148" s="71"/>
      <c r="M148" s="71"/>
      <c r="O148" s="71"/>
      <c r="P148" s="71"/>
      <c r="Q148" s="71"/>
      <c r="R148" s="71"/>
      <c r="S148" s="71"/>
      <c r="T148" s="71"/>
      <c r="U148" s="71"/>
      <c r="V148" s="71"/>
      <c r="W148" s="71"/>
      <c r="X148" s="125"/>
      <c r="AB148" s="71"/>
      <c r="AC148" s="71"/>
      <c r="AD148" s="71"/>
      <c r="AE148" s="125"/>
      <c r="AF148" s="71"/>
      <c r="AG148" s="71"/>
      <c r="AH148" s="71"/>
      <c r="AI148" s="218"/>
      <c r="AJ148" s="211"/>
      <c r="AK148" s="211"/>
      <c r="AL148" s="211"/>
      <c r="AP148" s="211"/>
      <c r="AQ148" s="211"/>
      <c r="AR148" s="211"/>
      <c r="AT148" s="211"/>
      <c r="AU148"/>
      <c r="AV148"/>
      <c r="AW148" s="211"/>
      <c r="BC148" s="507"/>
      <c r="BD148" s="507"/>
    </row>
    <row r="149" spans="2:56" x14ac:dyDescent="0.25">
      <c r="B149" s="450"/>
      <c r="C149" s="71"/>
      <c r="D149" s="71"/>
      <c r="E149" s="71"/>
      <c r="F149" s="317"/>
      <c r="G149" s="317"/>
      <c r="H149" s="317"/>
      <c r="I149" s="317"/>
      <c r="J149" s="71"/>
      <c r="K149" s="71"/>
      <c r="L149" s="71"/>
      <c r="M149" s="71"/>
      <c r="O149" s="71"/>
      <c r="P149" s="71"/>
      <c r="Q149" s="71"/>
      <c r="R149" s="71"/>
      <c r="S149" s="71"/>
      <c r="T149" s="71"/>
      <c r="U149" s="71"/>
      <c r="V149" s="71"/>
      <c r="W149" s="71"/>
      <c r="X149" s="125"/>
      <c r="AB149" s="71"/>
      <c r="AC149" s="71"/>
      <c r="AD149" s="71"/>
      <c r="AE149" s="125"/>
      <c r="AF149" s="71"/>
      <c r="AG149" s="71"/>
      <c r="AH149" s="71"/>
      <c r="AI149" s="218"/>
      <c r="AJ149" s="211"/>
      <c r="AK149" s="211"/>
      <c r="AL149" s="211"/>
      <c r="AP149" s="211"/>
      <c r="AQ149" s="211"/>
      <c r="AR149" s="211"/>
      <c r="AT149" s="211"/>
      <c r="AU149"/>
      <c r="AV149"/>
      <c r="AW149" s="211"/>
      <c r="BC149" s="507"/>
      <c r="BD149" s="507"/>
    </row>
    <row r="150" spans="2:56" x14ac:dyDescent="0.25">
      <c r="B150" s="450"/>
      <c r="C150" s="71"/>
      <c r="D150" s="71"/>
      <c r="E150" s="71"/>
      <c r="F150" s="317"/>
      <c r="G150" s="317"/>
      <c r="H150" s="317"/>
      <c r="I150" s="317"/>
      <c r="J150" s="71"/>
      <c r="K150" s="71"/>
      <c r="L150" s="71"/>
      <c r="M150" s="71"/>
      <c r="O150" s="71"/>
      <c r="P150" s="71"/>
      <c r="Q150" s="71"/>
      <c r="R150" s="71"/>
      <c r="S150" s="71"/>
      <c r="T150" s="71"/>
      <c r="U150" s="71"/>
      <c r="V150" s="71"/>
      <c r="W150" s="71"/>
      <c r="X150" s="125"/>
      <c r="AB150" s="71"/>
      <c r="AC150" s="71"/>
      <c r="AD150" s="71"/>
      <c r="AE150" s="125"/>
      <c r="AF150" s="71"/>
      <c r="AG150" s="71"/>
      <c r="AH150" s="71"/>
      <c r="AI150" s="218"/>
      <c r="AJ150" s="211"/>
      <c r="AK150" s="211"/>
      <c r="AL150" s="211"/>
      <c r="AP150" s="211"/>
      <c r="AQ150" s="211"/>
      <c r="AR150" s="211"/>
      <c r="AT150" s="211"/>
      <c r="AU150"/>
      <c r="AV150"/>
      <c r="AW150" s="211"/>
      <c r="BC150" s="507"/>
      <c r="BD150" s="507"/>
    </row>
    <row r="151" spans="2:56" x14ac:dyDescent="0.25">
      <c r="B151" s="450"/>
      <c r="C151" s="71"/>
      <c r="D151" s="71"/>
      <c r="E151" s="71"/>
      <c r="F151" s="317"/>
      <c r="G151" s="317"/>
      <c r="H151" s="317"/>
      <c r="I151" s="317"/>
      <c r="J151" s="71"/>
      <c r="K151" s="71"/>
      <c r="L151" s="71"/>
      <c r="M151" s="71"/>
      <c r="O151" s="71"/>
      <c r="P151" s="71"/>
      <c r="Q151" s="71"/>
      <c r="R151" s="71"/>
      <c r="S151" s="71"/>
      <c r="T151" s="71"/>
      <c r="U151" s="71"/>
      <c r="V151" s="71"/>
      <c r="W151" s="71"/>
      <c r="X151" s="125"/>
      <c r="AB151" s="71"/>
      <c r="AC151" s="71"/>
      <c r="AD151" s="71"/>
      <c r="AE151" s="125"/>
      <c r="AF151" s="71"/>
      <c r="AG151" s="71"/>
      <c r="AH151" s="71"/>
      <c r="AI151" s="218"/>
      <c r="AJ151" s="211"/>
      <c r="AK151" s="211"/>
      <c r="AL151" s="211"/>
      <c r="AP151" s="211"/>
      <c r="AQ151" s="211"/>
      <c r="AR151" s="211"/>
      <c r="AT151" s="211"/>
      <c r="AU151"/>
      <c r="AV151"/>
      <c r="AW151" s="211"/>
      <c r="BC151" s="507"/>
      <c r="BD151" s="507"/>
    </row>
    <row r="152" spans="2:56" x14ac:dyDescent="0.25">
      <c r="B152" s="450"/>
      <c r="C152" s="71"/>
      <c r="D152" s="71"/>
      <c r="E152" s="71"/>
      <c r="F152" s="317"/>
      <c r="G152" s="317"/>
      <c r="H152" s="317"/>
      <c r="I152" s="317"/>
      <c r="J152" s="71"/>
      <c r="K152" s="71"/>
      <c r="L152" s="71"/>
      <c r="M152" s="71"/>
      <c r="O152" s="71"/>
      <c r="P152" s="71"/>
      <c r="Q152" s="71"/>
      <c r="R152" s="71"/>
      <c r="S152" s="71"/>
      <c r="T152" s="71"/>
      <c r="U152" s="71"/>
      <c r="V152" s="71"/>
      <c r="W152" s="71"/>
      <c r="X152" s="125"/>
      <c r="AB152" s="71"/>
      <c r="AC152" s="71"/>
      <c r="AD152" s="71"/>
      <c r="AE152" s="125"/>
      <c r="AF152" s="71"/>
      <c r="AG152" s="71"/>
      <c r="AH152" s="71"/>
      <c r="AI152" s="218"/>
      <c r="AJ152" s="211"/>
      <c r="AK152" s="211"/>
      <c r="AL152" s="211"/>
      <c r="AP152" s="211"/>
      <c r="AQ152" s="211"/>
      <c r="AR152" s="211"/>
      <c r="AT152" s="211"/>
      <c r="AU152"/>
      <c r="AV152"/>
      <c r="AW152" s="211"/>
      <c r="BC152" s="507"/>
      <c r="BD152" s="507"/>
    </row>
    <row r="153" spans="2:56" x14ac:dyDescent="0.25">
      <c r="B153" s="450"/>
      <c r="C153" s="71"/>
      <c r="D153" s="71"/>
      <c r="E153" s="71"/>
      <c r="F153" s="317"/>
      <c r="G153" s="317"/>
      <c r="H153" s="317"/>
      <c r="I153" s="317"/>
      <c r="J153" s="71"/>
      <c r="K153" s="71"/>
      <c r="L153" s="71"/>
      <c r="M153" s="71"/>
      <c r="O153" s="71"/>
      <c r="P153" s="71"/>
      <c r="Q153" s="71"/>
      <c r="R153" s="71"/>
      <c r="S153" s="71"/>
      <c r="T153" s="71"/>
      <c r="U153" s="71"/>
      <c r="V153" s="71"/>
      <c r="W153" s="71"/>
      <c r="X153" s="125"/>
      <c r="AB153" s="71"/>
      <c r="AC153" s="71"/>
      <c r="AD153" s="71"/>
      <c r="AE153" s="125"/>
      <c r="AF153" s="71"/>
      <c r="AG153" s="71"/>
      <c r="AH153" s="71"/>
      <c r="AI153" s="218"/>
      <c r="AJ153" s="211"/>
      <c r="AK153" s="211"/>
      <c r="AL153" s="211"/>
      <c r="AP153" s="211"/>
      <c r="AQ153" s="211"/>
      <c r="AR153" s="211"/>
      <c r="AT153" s="211"/>
      <c r="AU153"/>
      <c r="AV153"/>
      <c r="AW153" s="211"/>
      <c r="BC153" s="507"/>
      <c r="BD153" s="507"/>
    </row>
    <row r="154" spans="2:56" x14ac:dyDescent="0.25">
      <c r="B154" s="450"/>
      <c r="C154" s="71"/>
      <c r="D154" s="71"/>
      <c r="E154" s="71"/>
      <c r="F154" s="317"/>
      <c r="G154" s="317"/>
      <c r="H154" s="317"/>
      <c r="I154" s="317"/>
      <c r="J154" s="71"/>
      <c r="K154" s="71"/>
      <c r="L154" s="71"/>
      <c r="M154" s="71"/>
      <c r="O154" s="71"/>
      <c r="P154" s="71"/>
      <c r="Q154" s="71"/>
      <c r="R154" s="71"/>
      <c r="S154" s="71"/>
      <c r="T154" s="71"/>
      <c r="U154" s="71"/>
      <c r="V154" s="71"/>
      <c r="W154" s="71"/>
      <c r="X154" s="125"/>
      <c r="AB154" s="71"/>
      <c r="AC154" s="71"/>
      <c r="AD154" s="71"/>
      <c r="AE154" s="125"/>
      <c r="AF154" s="71"/>
      <c r="AG154" s="71"/>
      <c r="AH154" s="71"/>
      <c r="AI154" s="218"/>
      <c r="AJ154" s="211"/>
      <c r="AK154" s="211"/>
      <c r="AL154" s="211"/>
      <c r="AP154" s="211"/>
      <c r="AQ154" s="211"/>
      <c r="AR154" s="211"/>
      <c r="AT154" s="211"/>
      <c r="AU154"/>
      <c r="AV154"/>
      <c r="AW154" s="211"/>
      <c r="BC154" s="507"/>
      <c r="BD154" s="507"/>
    </row>
    <row r="155" spans="2:56" x14ac:dyDescent="0.25">
      <c r="B155" s="450"/>
      <c r="C155" s="71"/>
      <c r="D155" s="71"/>
      <c r="E155" s="71"/>
      <c r="F155" s="317"/>
      <c r="G155" s="317"/>
      <c r="H155" s="317"/>
      <c r="I155" s="317"/>
      <c r="J155" s="71"/>
      <c r="K155" s="71"/>
      <c r="L155" s="71"/>
      <c r="M155" s="71"/>
      <c r="O155" s="71"/>
      <c r="P155" s="71"/>
      <c r="Q155" s="71"/>
      <c r="R155" s="71"/>
      <c r="S155" s="71"/>
      <c r="T155" s="71"/>
      <c r="U155" s="71"/>
      <c r="V155" s="71"/>
      <c r="W155" s="71"/>
      <c r="X155" s="125"/>
      <c r="AB155" s="71"/>
      <c r="AC155" s="71"/>
      <c r="AD155" s="71"/>
      <c r="AE155" s="125"/>
      <c r="AF155" s="71"/>
      <c r="AG155" s="71"/>
      <c r="AH155" s="71"/>
      <c r="AI155" s="218"/>
      <c r="AJ155" s="211"/>
      <c r="AK155" s="211"/>
      <c r="AL155" s="211"/>
      <c r="AP155" s="211"/>
      <c r="AQ155" s="211"/>
      <c r="AR155" s="211"/>
      <c r="AT155" s="211"/>
      <c r="AU155"/>
      <c r="AV155"/>
      <c r="AW155" s="211"/>
      <c r="BC155" s="507"/>
      <c r="BD155" s="507"/>
    </row>
    <row r="156" spans="2:56" x14ac:dyDescent="0.25">
      <c r="B156" s="450"/>
      <c r="C156" s="71"/>
      <c r="D156" s="71"/>
      <c r="E156" s="71"/>
      <c r="F156" s="317"/>
      <c r="G156" s="317"/>
      <c r="H156" s="317"/>
      <c r="I156" s="317"/>
      <c r="J156" s="71"/>
      <c r="K156" s="71"/>
      <c r="L156" s="71"/>
      <c r="M156" s="71"/>
      <c r="O156" s="71"/>
      <c r="P156" s="71"/>
      <c r="Q156" s="71"/>
      <c r="R156" s="71"/>
      <c r="S156" s="71"/>
      <c r="T156" s="71"/>
      <c r="U156" s="71"/>
      <c r="V156" s="71"/>
      <c r="W156" s="71"/>
      <c r="X156" s="125"/>
      <c r="AB156" s="71"/>
      <c r="AC156" s="71"/>
      <c r="AD156" s="71"/>
      <c r="AE156" s="125"/>
      <c r="AF156" s="71"/>
      <c r="AG156" s="71"/>
      <c r="AH156" s="71"/>
      <c r="AI156" s="218"/>
      <c r="AJ156" s="211"/>
      <c r="AK156" s="211"/>
      <c r="AL156" s="211"/>
      <c r="AP156" s="211"/>
      <c r="AQ156" s="211"/>
      <c r="AR156" s="211"/>
      <c r="AT156" s="211"/>
      <c r="AU156"/>
      <c r="AV156"/>
      <c r="AW156" s="211"/>
      <c r="BC156" s="507"/>
      <c r="BD156" s="507"/>
    </row>
    <row r="157" spans="2:56" x14ac:dyDescent="0.25">
      <c r="B157" s="450"/>
      <c r="C157" s="71"/>
      <c r="D157" s="71"/>
      <c r="E157" s="71"/>
      <c r="F157" s="317"/>
      <c r="G157" s="317"/>
      <c r="H157" s="317"/>
      <c r="I157" s="317"/>
      <c r="J157" s="71"/>
      <c r="K157" s="71"/>
      <c r="L157" s="71"/>
      <c r="M157" s="71"/>
      <c r="O157" s="71"/>
      <c r="P157" s="71"/>
      <c r="Q157" s="71"/>
      <c r="R157" s="71"/>
      <c r="S157" s="71"/>
      <c r="T157" s="71"/>
      <c r="U157" s="71"/>
      <c r="V157" s="71"/>
      <c r="W157" s="71"/>
      <c r="X157" s="125"/>
      <c r="AB157" s="71"/>
      <c r="AC157" s="71"/>
      <c r="AD157" s="71"/>
      <c r="AE157" s="125"/>
      <c r="AF157" s="71"/>
      <c r="AG157" s="71"/>
      <c r="AH157" s="71"/>
      <c r="AI157" s="218"/>
      <c r="AJ157" s="211"/>
      <c r="AK157" s="211"/>
      <c r="AL157" s="211"/>
      <c r="AP157" s="211"/>
      <c r="AQ157" s="211"/>
      <c r="AR157" s="211"/>
      <c r="AT157" s="211"/>
      <c r="AU157"/>
      <c r="AV157"/>
      <c r="AW157" s="211"/>
      <c r="BC157" s="507"/>
      <c r="BD157" s="507"/>
    </row>
    <row r="158" spans="2:56" x14ac:dyDescent="0.25">
      <c r="B158" s="450"/>
      <c r="C158" s="71"/>
      <c r="D158" s="71"/>
      <c r="E158" s="71"/>
      <c r="F158" s="317"/>
      <c r="G158" s="317"/>
      <c r="H158" s="317"/>
      <c r="I158" s="317"/>
      <c r="J158" s="71"/>
      <c r="K158" s="71"/>
      <c r="L158" s="71"/>
      <c r="M158" s="71"/>
      <c r="O158" s="71"/>
      <c r="P158" s="71"/>
      <c r="Q158" s="71"/>
      <c r="R158" s="71"/>
      <c r="S158" s="71"/>
      <c r="T158" s="71"/>
      <c r="U158" s="71"/>
      <c r="V158" s="71"/>
      <c r="W158" s="71"/>
      <c r="X158" s="125"/>
      <c r="AB158" s="71"/>
      <c r="AC158" s="71"/>
      <c r="AD158" s="71"/>
      <c r="AE158" s="125"/>
      <c r="AF158" s="71"/>
      <c r="AG158" s="71"/>
      <c r="AH158" s="71"/>
      <c r="AI158" s="218"/>
      <c r="AJ158" s="211"/>
      <c r="AK158" s="211"/>
      <c r="AL158" s="211"/>
      <c r="AP158" s="211"/>
      <c r="AQ158" s="211"/>
      <c r="AR158" s="211"/>
      <c r="AT158" s="211"/>
      <c r="AU158"/>
      <c r="AV158"/>
      <c r="AW158" s="211"/>
      <c r="BC158" s="507"/>
      <c r="BD158" s="507"/>
    </row>
    <row r="159" spans="2:56" x14ac:dyDescent="0.25">
      <c r="B159" s="450"/>
      <c r="C159" s="71"/>
      <c r="D159" s="71"/>
      <c r="E159" s="71"/>
      <c r="F159" s="317"/>
      <c r="G159" s="317"/>
      <c r="H159" s="317"/>
      <c r="I159" s="317"/>
      <c r="J159" s="71"/>
      <c r="K159" s="71"/>
      <c r="L159" s="71"/>
      <c r="M159" s="71"/>
      <c r="O159" s="71"/>
      <c r="P159" s="71"/>
      <c r="Q159" s="71"/>
      <c r="R159" s="71"/>
      <c r="S159" s="71"/>
      <c r="T159" s="71"/>
      <c r="U159" s="71"/>
      <c r="V159" s="71"/>
      <c r="W159" s="71"/>
      <c r="X159" s="125"/>
      <c r="AB159" s="71"/>
      <c r="AC159" s="71"/>
      <c r="AD159" s="71"/>
      <c r="AE159" s="125"/>
      <c r="AF159" s="71"/>
      <c r="AG159" s="71"/>
      <c r="AH159" s="71"/>
      <c r="AI159" s="218"/>
      <c r="AJ159" s="211"/>
      <c r="AK159" s="211"/>
      <c r="AL159" s="211"/>
      <c r="AP159" s="211"/>
      <c r="AQ159" s="211"/>
      <c r="AR159" s="211"/>
      <c r="AT159" s="211"/>
      <c r="AU159"/>
      <c r="AV159"/>
      <c r="AW159" s="211"/>
      <c r="BC159" s="507"/>
      <c r="BD159" s="507"/>
    </row>
    <row r="160" spans="2:56" x14ac:dyDescent="0.25">
      <c r="B160" s="450"/>
      <c r="C160" s="71"/>
      <c r="D160" s="71"/>
      <c r="E160" s="71"/>
      <c r="F160" s="317"/>
      <c r="G160" s="317"/>
      <c r="H160" s="317"/>
      <c r="I160" s="317"/>
      <c r="J160" s="71"/>
      <c r="K160" s="71"/>
      <c r="L160" s="71"/>
      <c r="M160" s="71"/>
      <c r="O160" s="71"/>
      <c r="P160" s="71"/>
      <c r="Q160" s="71"/>
      <c r="R160" s="71"/>
      <c r="S160" s="71"/>
      <c r="T160" s="71"/>
      <c r="U160" s="71"/>
      <c r="V160" s="71"/>
      <c r="W160" s="71"/>
      <c r="X160" s="125"/>
      <c r="AB160" s="71"/>
      <c r="AC160" s="71"/>
      <c r="AD160" s="71"/>
      <c r="AE160" s="125"/>
      <c r="AF160" s="71"/>
      <c r="AG160" s="71"/>
      <c r="AH160" s="71"/>
      <c r="AI160" s="218"/>
      <c r="AJ160" s="211"/>
      <c r="AK160" s="211"/>
      <c r="AL160" s="211"/>
      <c r="AP160" s="211"/>
      <c r="AQ160" s="211"/>
      <c r="AR160" s="211"/>
      <c r="AT160" s="211"/>
      <c r="AU160"/>
      <c r="AV160"/>
      <c r="AW160" s="211"/>
      <c r="BC160" s="507"/>
      <c r="BD160" s="507"/>
    </row>
    <row r="161" spans="2:56" x14ac:dyDescent="0.25">
      <c r="B161" s="450"/>
      <c r="C161" s="71"/>
      <c r="D161" s="71"/>
      <c r="E161" s="71"/>
      <c r="F161" s="317"/>
      <c r="G161" s="317"/>
      <c r="H161" s="317"/>
      <c r="I161" s="317"/>
      <c r="J161" s="71"/>
      <c r="K161" s="71"/>
      <c r="L161" s="71"/>
      <c r="M161" s="71"/>
      <c r="O161" s="71"/>
      <c r="P161" s="71"/>
      <c r="Q161" s="71"/>
      <c r="R161" s="71"/>
      <c r="S161" s="71"/>
      <c r="T161" s="71"/>
      <c r="U161" s="71"/>
      <c r="V161" s="71"/>
      <c r="W161" s="71"/>
      <c r="X161" s="125"/>
      <c r="AB161" s="71"/>
      <c r="AC161" s="71"/>
      <c r="AD161" s="71"/>
      <c r="AE161" s="125"/>
      <c r="AF161" s="71"/>
      <c r="AG161" s="71"/>
      <c r="AH161" s="71"/>
      <c r="AI161" s="218"/>
      <c r="AJ161" s="211"/>
      <c r="AK161" s="211"/>
      <c r="AL161" s="211"/>
      <c r="AP161" s="211"/>
      <c r="AQ161" s="211"/>
      <c r="AR161" s="211"/>
      <c r="AT161" s="211"/>
      <c r="AU161"/>
      <c r="AV161"/>
      <c r="AW161" s="211"/>
      <c r="BC161" s="507"/>
      <c r="BD161" s="507"/>
    </row>
    <row r="162" spans="2:56" x14ac:dyDescent="0.25">
      <c r="B162" s="450"/>
      <c r="C162" s="71"/>
      <c r="D162" s="71"/>
      <c r="E162" s="71"/>
      <c r="F162" s="317"/>
      <c r="G162" s="317"/>
      <c r="H162" s="317"/>
      <c r="I162" s="317"/>
      <c r="J162" s="71"/>
      <c r="K162" s="71"/>
      <c r="L162" s="71"/>
      <c r="M162" s="71"/>
      <c r="O162" s="71"/>
      <c r="P162" s="71"/>
      <c r="Q162" s="71"/>
      <c r="R162" s="71"/>
      <c r="S162" s="71"/>
      <c r="T162" s="71"/>
      <c r="U162" s="71"/>
      <c r="V162" s="71"/>
      <c r="W162" s="71"/>
      <c r="X162" s="125"/>
      <c r="AB162" s="71"/>
      <c r="AC162" s="71"/>
      <c r="AD162" s="71"/>
      <c r="AE162" s="125"/>
      <c r="AF162" s="71"/>
      <c r="AG162" s="71"/>
      <c r="AH162" s="71"/>
      <c r="AI162" s="218"/>
      <c r="AJ162" s="211"/>
      <c r="AK162" s="211"/>
      <c r="AL162" s="211"/>
      <c r="AP162" s="211"/>
      <c r="AQ162" s="211"/>
      <c r="AR162" s="211"/>
      <c r="AT162" s="211"/>
      <c r="AU162"/>
      <c r="AV162"/>
      <c r="AW162" s="211"/>
      <c r="BC162" s="507"/>
      <c r="BD162" s="507"/>
    </row>
    <row r="163" spans="2:56" x14ac:dyDescent="0.25">
      <c r="B163" s="450"/>
      <c r="C163" s="71"/>
      <c r="D163" s="71"/>
      <c r="E163" s="71"/>
      <c r="F163" s="317"/>
      <c r="G163" s="317"/>
      <c r="H163" s="317"/>
      <c r="I163" s="317"/>
      <c r="J163" s="71"/>
      <c r="K163" s="71"/>
      <c r="L163" s="71"/>
      <c r="M163" s="71"/>
      <c r="O163" s="71"/>
      <c r="P163" s="71"/>
      <c r="Q163" s="71"/>
      <c r="R163" s="71"/>
      <c r="S163" s="71"/>
      <c r="T163" s="71"/>
      <c r="U163" s="71"/>
      <c r="V163" s="71"/>
      <c r="W163" s="71"/>
      <c r="X163" s="125"/>
      <c r="AB163" s="71"/>
      <c r="AC163" s="71"/>
      <c r="AD163" s="71"/>
      <c r="AE163" s="125"/>
      <c r="AF163" s="71"/>
      <c r="AG163" s="71"/>
      <c r="AH163" s="71"/>
      <c r="AI163" s="218"/>
      <c r="AJ163" s="211"/>
      <c r="AK163" s="211"/>
      <c r="AL163" s="211"/>
      <c r="AP163" s="211"/>
      <c r="AQ163" s="211"/>
      <c r="AR163" s="211"/>
      <c r="AT163" s="211"/>
      <c r="AU163"/>
      <c r="AV163"/>
      <c r="AW163" s="211"/>
      <c r="BC163" s="507"/>
      <c r="BD163" s="507"/>
    </row>
    <row r="164" spans="2:56" x14ac:dyDescent="0.25">
      <c r="B164" s="450"/>
      <c r="C164" s="71"/>
      <c r="D164" s="71"/>
      <c r="E164" s="71"/>
      <c r="F164" s="317"/>
      <c r="G164" s="317"/>
      <c r="H164" s="317"/>
      <c r="I164" s="317"/>
      <c r="J164" s="71"/>
      <c r="K164" s="71"/>
      <c r="L164" s="71"/>
      <c r="M164" s="71"/>
      <c r="O164" s="71"/>
      <c r="P164" s="71"/>
      <c r="Q164" s="71"/>
      <c r="R164" s="71"/>
      <c r="S164" s="71"/>
      <c r="T164" s="71"/>
      <c r="U164" s="71"/>
      <c r="V164" s="71"/>
      <c r="W164" s="71"/>
      <c r="X164" s="125"/>
      <c r="AB164" s="71"/>
      <c r="AC164" s="71"/>
      <c r="AD164" s="71"/>
      <c r="AE164" s="125"/>
      <c r="AF164" s="71"/>
      <c r="AG164" s="71"/>
      <c r="AH164" s="71"/>
      <c r="AI164" s="218"/>
      <c r="AJ164" s="211"/>
      <c r="AK164" s="211"/>
      <c r="AL164" s="211"/>
      <c r="AP164" s="211"/>
      <c r="AQ164" s="211"/>
      <c r="AR164" s="211"/>
      <c r="AT164" s="211"/>
      <c r="AU164"/>
      <c r="AV164"/>
      <c r="AW164" s="211"/>
      <c r="BC164" s="507"/>
      <c r="BD164" s="507"/>
    </row>
    <row r="165" spans="2:56" x14ac:dyDescent="0.25">
      <c r="B165" s="450"/>
      <c r="C165" s="71"/>
      <c r="D165" s="71"/>
      <c r="E165" s="71"/>
      <c r="F165" s="317"/>
      <c r="G165" s="317"/>
      <c r="H165" s="317"/>
      <c r="I165" s="317"/>
      <c r="J165" s="71"/>
      <c r="K165" s="71"/>
      <c r="L165" s="71"/>
      <c r="M165" s="71"/>
      <c r="O165" s="71"/>
      <c r="P165" s="71"/>
      <c r="Q165" s="71"/>
      <c r="R165" s="71"/>
      <c r="S165" s="71"/>
      <c r="T165" s="71"/>
      <c r="U165" s="71"/>
      <c r="V165" s="71"/>
      <c r="W165" s="71"/>
      <c r="X165" s="125"/>
      <c r="AB165" s="71"/>
      <c r="AC165" s="71"/>
      <c r="AD165" s="71"/>
      <c r="AE165" s="125"/>
      <c r="AF165" s="71"/>
      <c r="AG165" s="71"/>
      <c r="AH165" s="71"/>
      <c r="AI165" s="218"/>
      <c r="AJ165" s="211"/>
      <c r="AK165" s="211"/>
      <c r="AL165" s="211"/>
      <c r="AP165" s="211"/>
      <c r="AQ165" s="211"/>
      <c r="AR165" s="211"/>
      <c r="AT165" s="211"/>
      <c r="AU165"/>
      <c r="AV165"/>
      <c r="AW165" s="211"/>
      <c r="BC165" s="507"/>
      <c r="BD165" s="507"/>
    </row>
    <row r="166" spans="2:56" x14ac:dyDescent="0.25">
      <c r="B166" s="450"/>
      <c r="C166" s="71"/>
      <c r="D166" s="71"/>
      <c r="E166" s="71"/>
      <c r="F166" s="317"/>
      <c r="G166" s="317"/>
      <c r="H166" s="317"/>
      <c r="I166" s="317"/>
      <c r="J166" s="71"/>
      <c r="K166" s="71"/>
      <c r="L166" s="71"/>
      <c r="M166" s="71"/>
      <c r="O166" s="71"/>
      <c r="P166" s="71"/>
      <c r="Q166" s="71"/>
      <c r="R166" s="71"/>
      <c r="S166" s="71"/>
      <c r="T166" s="71"/>
      <c r="U166" s="71"/>
      <c r="V166" s="71"/>
      <c r="W166" s="71"/>
      <c r="X166" s="125"/>
      <c r="AB166" s="71"/>
      <c r="AC166" s="71"/>
      <c r="AD166" s="71"/>
      <c r="AE166" s="125"/>
      <c r="AF166" s="71"/>
      <c r="AG166" s="71"/>
      <c r="AH166" s="71"/>
      <c r="AI166" s="218"/>
      <c r="AJ166" s="211"/>
      <c r="AK166" s="211"/>
      <c r="AL166" s="211"/>
      <c r="AP166" s="211"/>
      <c r="AQ166" s="211"/>
      <c r="AR166" s="211"/>
      <c r="AT166" s="211"/>
      <c r="AU166"/>
      <c r="AV166"/>
      <c r="AW166" s="211"/>
      <c r="BC166" s="507"/>
      <c r="BD166" s="507"/>
    </row>
    <row r="167" spans="2:56" x14ac:dyDescent="0.25">
      <c r="B167" s="450"/>
      <c r="C167" s="71"/>
      <c r="D167" s="71"/>
      <c r="E167" s="71"/>
      <c r="F167" s="317"/>
      <c r="G167" s="317"/>
      <c r="H167" s="317"/>
      <c r="I167" s="317"/>
      <c r="J167" s="71"/>
      <c r="K167" s="71"/>
      <c r="L167" s="71"/>
      <c r="M167" s="71"/>
      <c r="O167" s="71"/>
      <c r="P167" s="71"/>
      <c r="Q167" s="71"/>
      <c r="R167" s="71"/>
      <c r="S167" s="71"/>
      <c r="T167" s="71"/>
      <c r="U167" s="71"/>
      <c r="V167" s="71"/>
      <c r="W167" s="71"/>
      <c r="X167" s="125"/>
      <c r="AB167" s="71"/>
      <c r="AC167" s="71"/>
      <c r="AD167" s="71"/>
      <c r="AE167" s="125"/>
      <c r="AF167" s="71"/>
      <c r="AG167" s="71"/>
      <c r="AH167" s="71"/>
      <c r="AI167" s="218"/>
      <c r="AJ167" s="211"/>
      <c r="AK167" s="211"/>
      <c r="AL167" s="211"/>
      <c r="AP167" s="211"/>
      <c r="AQ167" s="211"/>
      <c r="AR167" s="211"/>
      <c r="AT167" s="211"/>
      <c r="AU167"/>
      <c r="AV167"/>
      <c r="AW167" s="211"/>
      <c r="BC167" s="507"/>
      <c r="BD167" s="507"/>
    </row>
    <row r="168" spans="2:56" x14ac:dyDescent="0.25">
      <c r="B168" s="450"/>
      <c r="C168" s="71"/>
      <c r="D168" s="71"/>
      <c r="E168" s="71"/>
      <c r="F168" s="317"/>
      <c r="G168" s="317"/>
      <c r="H168" s="317"/>
      <c r="I168" s="317"/>
      <c r="J168" s="71"/>
      <c r="K168" s="71"/>
      <c r="L168" s="71"/>
      <c r="M168" s="71"/>
      <c r="O168" s="71"/>
      <c r="P168" s="71"/>
      <c r="Q168" s="71"/>
      <c r="R168" s="71"/>
      <c r="S168" s="71"/>
      <c r="T168" s="71"/>
      <c r="U168" s="71"/>
      <c r="V168" s="71"/>
      <c r="W168" s="71"/>
      <c r="X168" s="125"/>
      <c r="AB168" s="71"/>
      <c r="AC168" s="71"/>
      <c r="AD168" s="71"/>
      <c r="AE168" s="125"/>
      <c r="AF168" s="71"/>
      <c r="AG168" s="71"/>
      <c r="AH168" s="71"/>
      <c r="AI168" s="218"/>
      <c r="AJ168" s="211"/>
      <c r="AK168" s="211"/>
      <c r="AL168" s="211"/>
      <c r="AP168" s="211"/>
      <c r="AQ168" s="211"/>
      <c r="AR168" s="211"/>
      <c r="AT168" s="211"/>
      <c r="AU168"/>
      <c r="AV168"/>
      <c r="AW168" s="211"/>
      <c r="BC168" s="507"/>
      <c r="BD168" s="507"/>
    </row>
    <row r="169" spans="2:56" x14ac:dyDescent="0.25">
      <c r="B169" s="450"/>
      <c r="C169" s="71"/>
      <c r="D169" s="71"/>
      <c r="E169" s="71"/>
      <c r="F169" s="317"/>
      <c r="G169" s="317"/>
      <c r="H169" s="317"/>
      <c r="I169" s="317"/>
      <c r="J169" s="71"/>
      <c r="K169" s="71"/>
      <c r="L169" s="71"/>
      <c r="M169" s="71"/>
      <c r="O169" s="71"/>
      <c r="P169" s="71"/>
      <c r="Q169" s="71"/>
      <c r="R169" s="71"/>
      <c r="S169" s="71"/>
      <c r="T169" s="71"/>
      <c r="U169" s="71"/>
      <c r="V169" s="71"/>
      <c r="W169" s="71"/>
      <c r="X169" s="125"/>
      <c r="AB169" s="71"/>
      <c r="AC169" s="71"/>
      <c r="AD169" s="71"/>
      <c r="AE169" s="125"/>
      <c r="AF169" s="71"/>
      <c r="AG169" s="71"/>
      <c r="AH169" s="71"/>
      <c r="AI169" s="218"/>
      <c r="AJ169" s="211"/>
      <c r="AK169" s="211"/>
      <c r="AL169" s="211"/>
      <c r="AP169" s="211"/>
      <c r="AQ169" s="211"/>
      <c r="AR169" s="211"/>
      <c r="AT169" s="211"/>
      <c r="AU169"/>
      <c r="AV169"/>
      <c r="AW169" s="211"/>
      <c r="BC169" s="507"/>
      <c r="BD169" s="507"/>
    </row>
    <row r="170" spans="2:56" x14ac:dyDescent="0.25">
      <c r="B170" s="450"/>
      <c r="C170" s="71"/>
      <c r="D170" s="71"/>
      <c r="E170" s="71"/>
      <c r="F170" s="317"/>
      <c r="G170" s="317"/>
      <c r="H170" s="317"/>
      <c r="I170" s="317"/>
      <c r="J170" s="71"/>
      <c r="K170" s="71"/>
      <c r="L170" s="71"/>
      <c r="M170" s="71"/>
      <c r="O170" s="71"/>
      <c r="P170" s="71"/>
      <c r="Q170" s="71"/>
      <c r="R170" s="71"/>
      <c r="S170" s="71"/>
      <c r="T170" s="71"/>
      <c r="U170" s="71"/>
      <c r="V170" s="71"/>
      <c r="W170" s="71"/>
      <c r="X170" s="125"/>
      <c r="AB170" s="71"/>
      <c r="AC170" s="71"/>
      <c r="AD170" s="71"/>
      <c r="AE170" s="125"/>
      <c r="AF170" s="71"/>
      <c r="AG170" s="71"/>
      <c r="AH170" s="71"/>
      <c r="AI170" s="218"/>
      <c r="AJ170" s="211"/>
      <c r="AK170" s="211"/>
      <c r="AL170" s="211"/>
      <c r="AP170" s="211"/>
      <c r="AQ170" s="211"/>
      <c r="AR170" s="211"/>
      <c r="AT170" s="211"/>
      <c r="AU170"/>
      <c r="AV170"/>
      <c r="AW170" s="211"/>
      <c r="BC170" s="507"/>
      <c r="BD170" s="507"/>
    </row>
    <row r="171" spans="2:56" x14ac:dyDescent="0.25">
      <c r="B171" s="450"/>
      <c r="C171" s="71"/>
      <c r="D171" s="71"/>
      <c r="E171" s="71"/>
      <c r="F171" s="317"/>
      <c r="G171" s="317"/>
      <c r="H171" s="317"/>
      <c r="I171" s="317"/>
      <c r="J171" s="71"/>
      <c r="K171" s="71"/>
      <c r="L171" s="71"/>
      <c r="M171" s="71"/>
      <c r="O171" s="71"/>
      <c r="P171" s="71"/>
      <c r="Q171" s="71"/>
      <c r="R171" s="71"/>
      <c r="S171" s="71"/>
      <c r="T171" s="71"/>
      <c r="U171" s="71"/>
      <c r="V171" s="71"/>
      <c r="W171" s="71"/>
      <c r="X171" s="125"/>
      <c r="AB171" s="71"/>
      <c r="AC171" s="71"/>
      <c r="AD171" s="71"/>
      <c r="AE171" s="125"/>
      <c r="AF171" s="71"/>
      <c r="AG171" s="71"/>
      <c r="AH171" s="71"/>
      <c r="AI171" s="218"/>
      <c r="AJ171" s="211"/>
      <c r="AK171" s="211"/>
      <c r="AL171" s="211"/>
      <c r="AP171" s="211"/>
      <c r="AQ171" s="211"/>
      <c r="AR171" s="211"/>
      <c r="AT171" s="211"/>
      <c r="AU171"/>
      <c r="AV171"/>
      <c r="AW171" s="211"/>
      <c r="BC171" s="507"/>
      <c r="BD171" s="507"/>
    </row>
    <row r="172" spans="2:56" x14ac:dyDescent="0.25">
      <c r="B172" s="450"/>
      <c r="C172" s="71"/>
      <c r="D172" s="71"/>
      <c r="E172" s="71"/>
      <c r="F172" s="317"/>
      <c r="G172" s="317"/>
      <c r="H172" s="317"/>
      <c r="I172" s="317"/>
      <c r="J172" s="71"/>
      <c r="K172" s="71"/>
      <c r="L172" s="71"/>
      <c r="M172" s="71"/>
      <c r="O172" s="71"/>
      <c r="P172" s="71"/>
      <c r="Q172" s="71"/>
      <c r="R172" s="71"/>
      <c r="S172" s="71"/>
      <c r="T172" s="71"/>
      <c r="U172" s="71"/>
      <c r="V172" s="71"/>
      <c r="W172" s="71"/>
      <c r="X172" s="125"/>
      <c r="AB172" s="71"/>
      <c r="AC172" s="71"/>
      <c r="AD172" s="71"/>
      <c r="AE172" s="125"/>
      <c r="AF172" s="71"/>
      <c r="AG172" s="71"/>
      <c r="AH172" s="71"/>
      <c r="AI172" s="218"/>
      <c r="AJ172" s="211"/>
      <c r="AK172" s="211"/>
      <c r="AL172" s="211"/>
      <c r="AP172" s="211"/>
      <c r="AQ172" s="211"/>
      <c r="AR172" s="211"/>
      <c r="AT172" s="211"/>
      <c r="AU172"/>
      <c r="AV172"/>
      <c r="AW172" s="211"/>
      <c r="BC172" s="507"/>
      <c r="BD172" s="507"/>
    </row>
    <row r="173" spans="2:56" x14ac:dyDescent="0.25">
      <c r="B173" s="450"/>
      <c r="C173" s="71"/>
      <c r="D173" s="71"/>
      <c r="E173" s="71"/>
      <c r="F173" s="317"/>
      <c r="G173" s="317"/>
      <c r="H173" s="317"/>
      <c r="I173" s="317"/>
      <c r="J173" s="71"/>
      <c r="K173" s="71"/>
      <c r="L173" s="71"/>
      <c r="M173" s="71"/>
      <c r="O173" s="71"/>
      <c r="P173" s="71"/>
      <c r="Q173" s="71"/>
      <c r="R173" s="71"/>
      <c r="S173" s="71"/>
      <c r="T173" s="71"/>
      <c r="U173" s="71"/>
      <c r="V173" s="71"/>
      <c r="W173" s="71"/>
      <c r="X173" s="125"/>
      <c r="AB173" s="71"/>
      <c r="AC173" s="71"/>
      <c r="AD173" s="71"/>
      <c r="AE173" s="125"/>
      <c r="AF173" s="71"/>
      <c r="AG173" s="71"/>
      <c r="AH173" s="71"/>
      <c r="AI173" s="218"/>
      <c r="AJ173" s="211"/>
      <c r="AK173" s="211"/>
      <c r="AL173" s="211"/>
      <c r="AP173" s="211"/>
      <c r="AQ173" s="211"/>
      <c r="AR173" s="211"/>
      <c r="AT173" s="211"/>
      <c r="AU173"/>
      <c r="AV173"/>
      <c r="AW173" s="211"/>
      <c r="BC173" s="507"/>
      <c r="BD173" s="507"/>
    </row>
    <row r="174" spans="2:56" x14ac:dyDescent="0.25">
      <c r="B174" s="450"/>
      <c r="C174" s="71"/>
      <c r="D174" s="71"/>
      <c r="E174" s="71"/>
      <c r="F174" s="317"/>
      <c r="G174" s="317"/>
      <c r="H174" s="317"/>
      <c r="I174" s="317"/>
      <c r="J174" s="71"/>
      <c r="K174" s="71"/>
      <c r="L174" s="71"/>
      <c r="M174" s="71"/>
      <c r="O174" s="71"/>
      <c r="P174" s="71"/>
      <c r="Q174" s="71"/>
      <c r="R174" s="71"/>
      <c r="S174" s="71"/>
      <c r="T174" s="71"/>
      <c r="U174" s="71"/>
      <c r="V174" s="71"/>
      <c r="W174" s="71"/>
      <c r="X174" s="125"/>
      <c r="AB174" s="71"/>
      <c r="AC174" s="71"/>
      <c r="AD174" s="71"/>
      <c r="AE174" s="125"/>
      <c r="AF174" s="71"/>
      <c r="AG174" s="71"/>
      <c r="AH174" s="71"/>
      <c r="AI174" s="218"/>
      <c r="AJ174" s="211"/>
      <c r="AK174" s="211"/>
      <c r="AL174" s="211"/>
      <c r="AP174" s="211"/>
      <c r="AQ174" s="211"/>
      <c r="AR174" s="211"/>
      <c r="AT174" s="211"/>
      <c r="AU174"/>
      <c r="AV174"/>
      <c r="AW174" s="211"/>
      <c r="BC174" s="507"/>
      <c r="BD174" s="507"/>
    </row>
    <row r="175" spans="2:56" x14ac:dyDescent="0.25">
      <c r="B175" s="450"/>
      <c r="C175" s="71"/>
      <c r="D175" s="71"/>
      <c r="E175" s="71"/>
      <c r="F175" s="317"/>
      <c r="G175" s="317"/>
      <c r="H175" s="317"/>
      <c r="I175" s="317"/>
      <c r="J175" s="71"/>
      <c r="K175" s="71"/>
      <c r="L175" s="71"/>
      <c r="M175" s="71"/>
      <c r="O175" s="71"/>
      <c r="P175" s="71"/>
      <c r="Q175" s="71"/>
      <c r="R175" s="71"/>
      <c r="S175" s="71"/>
      <c r="T175" s="71"/>
      <c r="U175" s="71"/>
      <c r="V175" s="71"/>
      <c r="W175" s="71"/>
      <c r="X175" s="125"/>
      <c r="AB175" s="71"/>
      <c r="AC175" s="71"/>
      <c r="AD175" s="71"/>
      <c r="AE175" s="125"/>
      <c r="AF175" s="71"/>
      <c r="AG175" s="71"/>
      <c r="AH175" s="71"/>
      <c r="AI175" s="218"/>
      <c r="AJ175" s="211"/>
      <c r="AK175" s="211"/>
      <c r="AL175" s="211"/>
      <c r="AP175" s="211"/>
      <c r="AQ175" s="211"/>
      <c r="AR175" s="211"/>
      <c r="AT175" s="211"/>
      <c r="AU175"/>
      <c r="AV175"/>
      <c r="AW175" s="211"/>
      <c r="BC175" s="507"/>
      <c r="BD175" s="507"/>
    </row>
    <row r="176" spans="2:56" x14ac:dyDescent="0.25">
      <c r="B176" s="450"/>
      <c r="C176" s="71"/>
      <c r="D176" s="71"/>
      <c r="E176" s="71"/>
      <c r="F176" s="317"/>
      <c r="G176" s="317"/>
      <c r="H176" s="317"/>
      <c r="I176" s="317"/>
      <c r="J176" s="71"/>
      <c r="K176" s="71"/>
      <c r="L176" s="71"/>
      <c r="M176" s="71"/>
      <c r="O176" s="71"/>
      <c r="P176" s="71"/>
      <c r="Q176" s="71"/>
      <c r="R176" s="71"/>
      <c r="S176" s="71"/>
      <c r="T176" s="71"/>
      <c r="U176" s="71"/>
      <c r="V176" s="71"/>
      <c r="W176" s="71"/>
      <c r="X176" s="125"/>
      <c r="AB176" s="71"/>
      <c r="AC176" s="71"/>
      <c r="AD176" s="71"/>
      <c r="AE176" s="125"/>
      <c r="AF176" s="71"/>
      <c r="AG176" s="71"/>
      <c r="AH176" s="71"/>
      <c r="AI176" s="218"/>
      <c r="AJ176" s="211"/>
      <c r="AK176" s="211"/>
      <c r="AL176" s="211"/>
      <c r="AP176" s="211"/>
      <c r="AQ176" s="211"/>
      <c r="AR176" s="211"/>
      <c r="AT176" s="211"/>
      <c r="AU176"/>
      <c r="AV176"/>
      <c r="AW176" s="211"/>
      <c r="BC176" s="507"/>
      <c r="BD176" s="507"/>
    </row>
    <row r="177" spans="2:56" x14ac:dyDescent="0.25">
      <c r="B177" s="450"/>
      <c r="C177" s="71"/>
      <c r="D177" s="71"/>
      <c r="E177" s="71"/>
      <c r="F177" s="317"/>
      <c r="G177" s="317"/>
      <c r="H177" s="317"/>
      <c r="I177" s="317"/>
      <c r="J177" s="71"/>
      <c r="K177" s="71"/>
      <c r="L177" s="71"/>
      <c r="M177" s="71"/>
      <c r="O177" s="71"/>
      <c r="P177" s="71"/>
      <c r="Q177" s="71"/>
      <c r="R177" s="71"/>
      <c r="S177" s="71"/>
      <c r="T177" s="71"/>
      <c r="U177" s="71"/>
      <c r="V177" s="71"/>
      <c r="W177" s="71"/>
      <c r="X177" s="125"/>
      <c r="AB177" s="71"/>
      <c r="AC177" s="71"/>
      <c r="AD177" s="71"/>
      <c r="AE177" s="125"/>
      <c r="AF177" s="71"/>
      <c r="AG177" s="71"/>
      <c r="AH177" s="71"/>
      <c r="AI177" s="218"/>
      <c r="AJ177" s="211"/>
      <c r="AK177" s="211"/>
      <c r="AL177" s="211"/>
      <c r="AP177" s="211"/>
      <c r="AQ177" s="211"/>
      <c r="AR177" s="211"/>
      <c r="AT177" s="211"/>
      <c r="AU177"/>
      <c r="AV177"/>
      <c r="AW177" s="211"/>
      <c r="BC177" s="507"/>
      <c r="BD177" s="507"/>
    </row>
    <row r="178" spans="2:56" x14ac:dyDescent="0.25">
      <c r="B178" s="450"/>
      <c r="C178" s="71"/>
      <c r="D178" s="71"/>
      <c r="E178" s="71"/>
      <c r="F178" s="317"/>
      <c r="G178" s="317"/>
      <c r="H178" s="317"/>
      <c r="I178" s="317"/>
      <c r="J178" s="71"/>
      <c r="K178" s="71"/>
      <c r="L178" s="71"/>
      <c r="M178" s="71"/>
      <c r="O178" s="71"/>
      <c r="P178" s="71"/>
      <c r="Q178" s="71"/>
      <c r="R178" s="71"/>
      <c r="S178" s="71"/>
      <c r="T178" s="71"/>
      <c r="U178" s="71"/>
      <c r="V178" s="71"/>
      <c r="W178" s="71"/>
      <c r="X178" s="125"/>
      <c r="AB178" s="71"/>
      <c r="AC178" s="71"/>
      <c r="AD178" s="71"/>
      <c r="AE178" s="125"/>
      <c r="AF178" s="71"/>
      <c r="AG178" s="71"/>
      <c r="AH178" s="71"/>
      <c r="AI178" s="218"/>
      <c r="AJ178" s="211"/>
      <c r="AK178" s="211"/>
      <c r="AL178" s="211"/>
      <c r="AP178" s="211"/>
      <c r="AQ178" s="211"/>
      <c r="AR178" s="211"/>
      <c r="AT178" s="211"/>
      <c r="AU178"/>
      <c r="AV178"/>
      <c r="AW178" s="211"/>
      <c r="BC178" s="507"/>
      <c r="BD178" s="507"/>
    </row>
    <row r="179" spans="2:56" x14ac:dyDescent="0.25">
      <c r="B179" s="450"/>
      <c r="C179" s="71"/>
      <c r="D179" s="71"/>
      <c r="E179" s="71"/>
      <c r="F179" s="317"/>
      <c r="G179" s="317"/>
      <c r="H179" s="317"/>
      <c r="I179" s="317"/>
      <c r="J179" s="71"/>
      <c r="K179" s="71"/>
      <c r="L179" s="71"/>
      <c r="M179" s="71"/>
      <c r="O179" s="71"/>
      <c r="P179" s="71"/>
      <c r="Q179" s="71"/>
      <c r="R179" s="71"/>
      <c r="S179" s="71"/>
      <c r="T179" s="71"/>
      <c r="U179" s="71"/>
      <c r="V179" s="71"/>
      <c r="W179" s="71"/>
      <c r="X179" s="125"/>
      <c r="AB179" s="71"/>
      <c r="AC179" s="71"/>
      <c r="AD179" s="71"/>
      <c r="AE179" s="125"/>
      <c r="AF179" s="71"/>
      <c r="AG179" s="71"/>
      <c r="AH179" s="71"/>
      <c r="AI179" s="218"/>
      <c r="AJ179" s="211"/>
      <c r="AK179" s="211"/>
      <c r="AL179" s="211"/>
      <c r="AP179" s="211"/>
      <c r="AQ179" s="211"/>
      <c r="AR179" s="211"/>
      <c r="AT179" s="211"/>
      <c r="AU179"/>
      <c r="AV179"/>
      <c r="AW179" s="211"/>
      <c r="BC179" s="507"/>
      <c r="BD179" s="507"/>
    </row>
    <row r="180" spans="2:56" x14ac:dyDescent="0.25">
      <c r="B180" s="450"/>
      <c r="C180" s="71"/>
      <c r="D180" s="71"/>
      <c r="E180" s="71"/>
      <c r="F180" s="317"/>
      <c r="G180" s="317"/>
      <c r="H180" s="317"/>
      <c r="I180" s="317"/>
      <c r="J180" s="71"/>
      <c r="K180" s="71"/>
      <c r="L180" s="71"/>
      <c r="M180" s="71"/>
      <c r="O180" s="71"/>
      <c r="P180" s="71"/>
      <c r="Q180" s="71"/>
      <c r="R180" s="71"/>
      <c r="S180" s="71"/>
      <c r="T180" s="71"/>
      <c r="U180" s="71"/>
      <c r="V180" s="71"/>
      <c r="W180" s="71"/>
      <c r="X180" s="125"/>
      <c r="AB180" s="71"/>
      <c r="AC180" s="71"/>
      <c r="AD180" s="71"/>
      <c r="AE180" s="125"/>
      <c r="AF180" s="71"/>
      <c r="AG180" s="71"/>
      <c r="AH180" s="71"/>
      <c r="AI180" s="218"/>
      <c r="AJ180" s="211"/>
      <c r="AK180" s="211"/>
      <c r="AL180" s="211"/>
      <c r="AP180" s="211"/>
      <c r="AQ180" s="211"/>
      <c r="AR180" s="211"/>
      <c r="AT180" s="211"/>
      <c r="AU180"/>
      <c r="AV180"/>
      <c r="AW180" s="211"/>
      <c r="BC180" s="502"/>
      <c r="BD180" s="502"/>
    </row>
    <row r="181" spans="2:56" x14ac:dyDescent="0.25">
      <c r="B181" s="450"/>
      <c r="C181" s="71"/>
      <c r="D181" s="71"/>
      <c r="E181" s="71"/>
      <c r="F181" s="317"/>
      <c r="G181" s="317"/>
      <c r="H181" s="317"/>
      <c r="I181" s="317"/>
      <c r="J181" s="71"/>
      <c r="K181" s="71"/>
      <c r="L181" s="71"/>
      <c r="M181" s="71"/>
      <c r="O181" s="71"/>
      <c r="P181" s="71"/>
      <c r="Q181" s="71"/>
      <c r="R181" s="71"/>
      <c r="S181" s="71"/>
      <c r="T181" s="71"/>
      <c r="U181" s="71"/>
      <c r="V181" s="71"/>
      <c r="W181" s="71"/>
      <c r="X181" s="125"/>
      <c r="AB181" s="71"/>
      <c r="AC181" s="71"/>
      <c r="AD181" s="71"/>
      <c r="AE181" s="125"/>
      <c r="AF181" s="71"/>
      <c r="AG181" s="71"/>
      <c r="AH181" s="71"/>
      <c r="AI181" s="218"/>
      <c r="AJ181" s="211"/>
      <c r="AK181" s="211"/>
      <c r="AL181" s="211"/>
      <c r="AP181" s="211"/>
      <c r="AQ181" s="211"/>
      <c r="AR181" s="211"/>
      <c r="AT181" s="211"/>
      <c r="AU181"/>
      <c r="AV181"/>
      <c r="AW181" s="211"/>
    </row>
    <row r="182" spans="2:56" x14ac:dyDescent="0.25">
      <c r="B182" s="450"/>
      <c r="C182" s="71"/>
      <c r="D182" s="71"/>
      <c r="E182" s="71"/>
      <c r="F182" s="317"/>
      <c r="G182" s="317"/>
      <c r="H182" s="317"/>
      <c r="I182" s="317"/>
      <c r="J182" s="71"/>
      <c r="K182" s="71"/>
      <c r="L182" s="71"/>
      <c r="M182" s="71"/>
      <c r="O182" s="71"/>
      <c r="P182" s="71"/>
      <c r="Q182" s="71"/>
      <c r="R182" s="71"/>
      <c r="S182" s="71"/>
      <c r="T182" s="71"/>
      <c r="U182" s="71"/>
      <c r="V182" s="71"/>
      <c r="W182" s="71"/>
      <c r="X182" s="125"/>
      <c r="AB182" s="71"/>
      <c r="AC182" s="71"/>
      <c r="AD182" s="71"/>
      <c r="AE182" s="125"/>
      <c r="AF182" s="71"/>
      <c r="AG182" s="71"/>
      <c r="AH182" s="71"/>
      <c r="AI182" s="218"/>
      <c r="AJ182" s="211"/>
      <c r="AK182" s="211"/>
      <c r="AL182" s="211"/>
      <c r="AP182" s="211"/>
      <c r="AQ182" s="211"/>
      <c r="AR182" s="211"/>
      <c r="AT182" s="211"/>
      <c r="AU182"/>
      <c r="AV182"/>
      <c r="AW182" s="211"/>
    </row>
    <row r="183" spans="2:56" x14ac:dyDescent="0.25">
      <c r="B183" s="450"/>
      <c r="C183" s="71"/>
      <c r="D183" s="71"/>
      <c r="E183" s="71"/>
      <c r="F183" s="317"/>
      <c r="G183" s="317"/>
      <c r="H183" s="317"/>
      <c r="I183" s="317"/>
      <c r="J183" s="71"/>
      <c r="K183" s="71"/>
      <c r="L183" s="71"/>
      <c r="M183" s="71"/>
      <c r="O183" s="71"/>
      <c r="P183" s="71"/>
      <c r="Q183" s="71"/>
      <c r="R183" s="71"/>
      <c r="S183" s="71"/>
      <c r="T183" s="71"/>
      <c r="U183" s="71"/>
      <c r="V183" s="71"/>
      <c r="W183" s="71"/>
      <c r="X183" s="125"/>
      <c r="AB183" s="71"/>
      <c r="AC183" s="71"/>
      <c r="AD183" s="71"/>
      <c r="AE183" s="125"/>
      <c r="AF183" s="71"/>
      <c r="AG183" s="71"/>
      <c r="AH183" s="71"/>
      <c r="AI183" s="218"/>
      <c r="AJ183" s="211"/>
      <c r="AK183" s="211"/>
      <c r="AL183" s="211"/>
      <c r="AP183" s="211"/>
      <c r="AQ183" s="211"/>
      <c r="AR183" s="211"/>
      <c r="AT183" s="211"/>
      <c r="AU183"/>
      <c r="AV183"/>
      <c r="AW183" s="211"/>
    </row>
    <row r="184" spans="2:56" x14ac:dyDescent="0.25">
      <c r="B184" s="450"/>
      <c r="C184" s="71"/>
      <c r="D184" s="71"/>
      <c r="E184" s="71"/>
      <c r="F184" s="317"/>
      <c r="G184" s="317"/>
      <c r="H184" s="317"/>
      <c r="I184" s="317"/>
      <c r="J184" s="71"/>
      <c r="K184" s="71"/>
      <c r="L184" s="71"/>
      <c r="M184" s="71"/>
      <c r="O184" s="71"/>
      <c r="P184" s="71"/>
      <c r="Q184" s="71"/>
      <c r="R184" s="71"/>
      <c r="S184" s="71"/>
      <c r="T184" s="71"/>
      <c r="U184" s="71"/>
      <c r="V184" s="71"/>
      <c r="W184" s="71"/>
      <c r="X184" s="125"/>
      <c r="AB184" s="71"/>
      <c r="AC184" s="71"/>
      <c r="AD184" s="71"/>
      <c r="AE184" s="125"/>
      <c r="AF184" s="71"/>
      <c r="AG184" s="71"/>
      <c r="AH184" s="71"/>
      <c r="AI184" s="218"/>
      <c r="AJ184" s="211"/>
      <c r="AK184" s="211"/>
      <c r="AL184" s="211"/>
      <c r="AP184" s="211"/>
      <c r="AQ184" s="211"/>
      <c r="AR184" s="211"/>
      <c r="AT184" s="211"/>
      <c r="AU184"/>
      <c r="AV184"/>
      <c r="AW184" s="211"/>
    </row>
    <row r="185" spans="2:56" x14ac:dyDescent="0.25">
      <c r="B185" s="450"/>
      <c r="C185" s="71"/>
      <c r="D185" s="71"/>
      <c r="E185" s="71"/>
      <c r="F185" s="317"/>
      <c r="G185" s="317"/>
      <c r="H185" s="317"/>
      <c r="I185" s="317"/>
      <c r="J185" s="71"/>
      <c r="K185" s="71"/>
      <c r="L185" s="71"/>
      <c r="M185" s="71"/>
      <c r="O185" s="71"/>
      <c r="P185" s="71"/>
      <c r="Q185" s="71"/>
      <c r="R185" s="71"/>
      <c r="S185" s="71"/>
      <c r="T185" s="71"/>
      <c r="U185" s="71"/>
      <c r="V185" s="71"/>
      <c r="W185" s="71"/>
      <c r="X185" s="125"/>
      <c r="AB185" s="71"/>
      <c r="AC185" s="71"/>
      <c r="AD185" s="71"/>
      <c r="AE185" s="125"/>
      <c r="AF185" s="71"/>
      <c r="AG185" s="71"/>
      <c r="AH185" s="71"/>
      <c r="AI185" s="218"/>
      <c r="AJ185" s="211"/>
      <c r="AK185" s="211"/>
      <c r="AL185" s="211"/>
      <c r="AP185" s="211"/>
      <c r="AQ185" s="211"/>
      <c r="AR185" s="211"/>
      <c r="AT185" s="211"/>
      <c r="AU185"/>
      <c r="AV185"/>
      <c r="AW185" s="211"/>
    </row>
    <row r="186" spans="2:56" x14ac:dyDescent="0.25">
      <c r="B186" s="450"/>
      <c r="C186" s="71"/>
      <c r="D186" s="71"/>
      <c r="E186" s="71"/>
      <c r="F186" s="317"/>
      <c r="G186" s="317"/>
      <c r="H186" s="317"/>
      <c r="I186" s="317"/>
      <c r="J186" s="71"/>
      <c r="K186" s="71"/>
      <c r="L186" s="71"/>
      <c r="M186" s="71"/>
      <c r="O186" s="71"/>
      <c r="P186" s="71"/>
      <c r="Q186" s="71"/>
      <c r="R186" s="71"/>
      <c r="S186" s="71"/>
      <c r="T186" s="71"/>
      <c r="U186" s="71"/>
      <c r="V186" s="71"/>
      <c r="W186" s="71"/>
      <c r="X186" s="125"/>
      <c r="AB186" s="71"/>
      <c r="AC186" s="71"/>
      <c r="AD186" s="71"/>
      <c r="AE186" s="125"/>
      <c r="AF186" s="71"/>
      <c r="AG186" s="71"/>
      <c r="AH186" s="71"/>
      <c r="AI186" s="218"/>
      <c r="AJ186" s="211"/>
      <c r="AK186" s="211"/>
      <c r="AL186" s="211"/>
      <c r="AP186" s="211"/>
      <c r="AQ186" s="211"/>
      <c r="AR186" s="211"/>
      <c r="AT186" s="211"/>
      <c r="AU186"/>
      <c r="AV186"/>
      <c r="AW186" s="211"/>
    </row>
    <row r="187" spans="2:56" x14ac:dyDescent="0.25">
      <c r="B187" s="450"/>
      <c r="C187" s="71"/>
      <c r="D187" s="71"/>
      <c r="E187" s="71"/>
      <c r="F187" s="317"/>
      <c r="G187" s="317"/>
      <c r="H187" s="317"/>
      <c r="I187" s="317"/>
      <c r="J187" s="71"/>
      <c r="K187" s="71"/>
      <c r="L187" s="71"/>
      <c r="M187" s="71"/>
      <c r="O187" s="71"/>
      <c r="P187" s="71"/>
      <c r="Q187" s="71"/>
      <c r="R187" s="71"/>
      <c r="S187" s="71"/>
      <c r="T187" s="71"/>
      <c r="U187" s="71"/>
      <c r="V187" s="71"/>
      <c r="W187" s="71"/>
      <c r="X187" s="125"/>
      <c r="AB187" s="71"/>
      <c r="AC187" s="71"/>
      <c r="AD187" s="71"/>
      <c r="AE187" s="125"/>
      <c r="AF187" s="71"/>
      <c r="AG187" s="71"/>
      <c r="AH187" s="71"/>
      <c r="AI187" s="218"/>
      <c r="AJ187" s="211"/>
      <c r="AK187" s="211"/>
      <c r="AL187" s="211"/>
      <c r="AP187" s="211"/>
      <c r="AQ187" s="211"/>
      <c r="AR187" s="211"/>
      <c r="AT187" s="211"/>
      <c r="AU187"/>
      <c r="AV187"/>
      <c r="AW187" s="211"/>
    </row>
    <row r="188" spans="2:56" x14ac:dyDescent="0.25">
      <c r="B188" s="450"/>
      <c r="C188" s="71"/>
      <c r="D188" s="71"/>
      <c r="E188" s="71"/>
      <c r="F188" s="317"/>
      <c r="G188" s="317"/>
      <c r="H188" s="317"/>
      <c r="I188" s="317"/>
      <c r="J188" s="71"/>
      <c r="K188" s="71"/>
      <c r="L188" s="71"/>
      <c r="M188" s="71"/>
      <c r="O188" s="71"/>
      <c r="P188" s="71"/>
      <c r="Q188" s="71"/>
      <c r="R188" s="71"/>
      <c r="S188" s="71"/>
      <c r="T188" s="71"/>
      <c r="U188" s="71"/>
      <c r="V188" s="71"/>
      <c r="W188" s="71"/>
      <c r="X188" s="125"/>
      <c r="AB188" s="71"/>
      <c r="AC188" s="71"/>
      <c r="AD188" s="71"/>
      <c r="AE188" s="125"/>
      <c r="AF188" s="71"/>
      <c r="AG188" s="71"/>
      <c r="AH188" s="71"/>
      <c r="AI188" s="218"/>
      <c r="AJ188" s="211"/>
      <c r="AK188" s="211"/>
      <c r="AL188" s="211"/>
      <c r="AP188" s="211"/>
      <c r="AQ188" s="211"/>
      <c r="AR188" s="211"/>
      <c r="AT188" s="211"/>
      <c r="AU188"/>
      <c r="AV188"/>
      <c r="AW188" s="211"/>
    </row>
    <row r="189" spans="2:56" x14ac:dyDescent="0.25">
      <c r="B189" s="450"/>
      <c r="C189" s="71"/>
      <c r="D189" s="71"/>
      <c r="E189" s="71"/>
      <c r="F189" s="317"/>
      <c r="G189" s="317"/>
      <c r="H189" s="317"/>
      <c r="I189" s="317"/>
      <c r="J189" s="71"/>
      <c r="K189" s="71"/>
      <c r="L189" s="71"/>
      <c r="M189" s="71"/>
      <c r="O189" s="71"/>
      <c r="P189" s="71"/>
      <c r="Q189" s="71"/>
      <c r="R189" s="71"/>
      <c r="S189" s="71"/>
      <c r="T189" s="71"/>
      <c r="U189" s="71"/>
      <c r="V189" s="71"/>
      <c r="W189" s="71"/>
      <c r="X189" s="125"/>
      <c r="AB189" s="71"/>
      <c r="AC189" s="71"/>
      <c r="AD189" s="71"/>
      <c r="AE189" s="125"/>
      <c r="AF189" s="71"/>
      <c r="AG189" s="71"/>
      <c r="AH189" s="71"/>
      <c r="AI189" s="218"/>
      <c r="AJ189" s="211"/>
      <c r="AK189" s="211"/>
      <c r="AL189" s="211"/>
      <c r="AP189" s="211"/>
      <c r="AQ189" s="211"/>
      <c r="AR189" s="211"/>
      <c r="AT189" s="211"/>
      <c r="AU189"/>
      <c r="AV189"/>
      <c r="AW189" s="211"/>
    </row>
    <row r="190" spans="2:56" x14ac:dyDescent="0.25">
      <c r="B190" s="450"/>
      <c r="C190" s="71"/>
      <c r="D190" s="71"/>
      <c r="E190" s="71"/>
      <c r="F190" s="317"/>
      <c r="G190" s="317"/>
      <c r="H190" s="317"/>
      <c r="I190" s="317"/>
      <c r="J190" s="71"/>
      <c r="K190" s="71"/>
      <c r="L190" s="71"/>
      <c r="M190" s="71"/>
      <c r="O190" s="71"/>
      <c r="P190" s="71"/>
      <c r="Q190" s="71"/>
      <c r="R190" s="71"/>
      <c r="S190" s="71"/>
      <c r="T190" s="71"/>
      <c r="U190" s="71"/>
      <c r="V190" s="71"/>
      <c r="W190" s="71"/>
      <c r="X190" s="125"/>
      <c r="AB190" s="71"/>
      <c r="AC190" s="71"/>
      <c r="AD190" s="71"/>
      <c r="AE190" s="125"/>
      <c r="AF190" s="71"/>
      <c r="AG190" s="71"/>
      <c r="AH190" s="71"/>
      <c r="AI190" s="218"/>
      <c r="AJ190" s="211"/>
      <c r="AK190" s="211"/>
      <c r="AL190" s="211"/>
      <c r="AP190" s="211"/>
      <c r="AQ190" s="211"/>
      <c r="AR190" s="211"/>
      <c r="AT190" s="211"/>
      <c r="AU190"/>
      <c r="AV190"/>
      <c r="AW190" s="211"/>
    </row>
    <row r="191" spans="2:56" x14ac:dyDescent="0.25">
      <c r="B191" s="450"/>
      <c r="C191" s="71"/>
      <c r="D191" s="71"/>
      <c r="E191" s="71"/>
      <c r="F191" s="317"/>
      <c r="G191" s="317"/>
      <c r="H191" s="317"/>
      <c r="I191" s="317"/>
      <c r="J191" s="71"/>
      <c r="K191" s="71"/>
      <c r="L191" s="71"/>
      <c r="M191" s="71"/>
      <c r="O191" s="71"/>
      <c r="P191" s="71"/>
      <c r="Q191" s="71"/>
      <c r="R191" s="71"/>
      <c r="S191" s="71"/>
      <c r="T191" s="71"/>
      <c r="U191" s="71"/>
      <c r="V191" s="71"/>
      <c r="W191" s="71"/>
      <c r="X191" s="125"/>
      <c r="AB191" s="71"/>
      <c r="AC191" s="71"/>
      <c r="AD191" s="71"/>
      <c r="AE191" s="125"/>
      <c r="AF191" s="71"/>
      <c r="AG191" s="71"/>
      <c r="AH191" s="71"/>
      <c r="AI191" s="218"/>
      <c r="AJ191" s="211"/>
      <c r="AK191" s="211"/>
      <c r="AL191" s="211"/>
      <c r="AP191" s="211"/>
      <c r="AQ191" s="211"/>
      <c r="AR191" s="211"/>
      <c r="AT191" s="211"/>
      <c r="AU191"/>
      <c r="AV191"/>
      <c r="AW191" s="211"/>
    </row>
    <row r="192" spans="2:56" x14ac:dyDescent="0.25">
      <c r="B192" s="450"/>
      <c r="C192" s="71"/>
      <c r="D192" s="71"/>
      <c r="E192" s="71"/>
      <c r="F192" s="317"/>
      <c r="G192" s="317"/>
      <c r="H192" s="317"/>
      <c r="I192" s="317"/>
      <c r="J192" s="71"/>
      <c r="K192" s="71"/>
      <c r="L192" s="71"/>
      <c r="M192" s="71"/>
      <c r="O192" s="71"/>
      <c r="P192" s="71"/>
      <c r="Q192" s="71"/>
      <c r="R192" s="71"/>
      <c r="S192" s="71"/>
      <c r="T192" s="71"/>
      <c r="U192" s="71"/>
      <c r="V192" s="71"/>
      <c r="W192" s="71"/>
      <c r="X192" s="125"/>
      <c r="AB192" s="71"/>
      <c r="AC192" s="71"/>
      <c r="AD192" s="71"/>
      <c r="AE192" s="125"/>
      <c r="AF192" s="71"/>
      <c r="AG192" s="71"/>
      <c r="AH192" s="71"/>
      <c r="AI192" s="218"/>
      <c r="AJ192" s="211"/>
      <c r="AK192" s="211"/>
      <c r="AL192" s="211"/>
      <c r="AP192" s="211"/>
      <c r="AQ192" s="211"/>
      <c r="AR192" s="211"/>
      <c r="AT192" s="211"/>
      <c r="AU192"/>
      <c r="AV192"/>
      <c r="AW192" s="211"/>
    </row>
    <row r="193" spans="2:49" x14ac:dyDescent="0.25">
      <c r="B193" s="450"/>
      <c r="C193" s="71"/>
      <c r="D193" s="71"/>
      <c r="E193" s="71"/>
      <c r="F193" s="317"/>
      <c r="G193" s="317"/>
      <c r="H193" s="317"/>
      <c r="I193" s="317"/>
      <c r="J193" s="71"/>
      <c r="K193" s="71"/>
      <c r="L193" s="71"/>
      <c r="M193" s="71"/>
      <c r="O193" s="71"/>
      <c r="P193" s="71"/>
      <c r="Q193" s="71"/>
      <c r="R193" s="71"/>
      <c r="S193" s="71"/>
      <c r="T193" s="71"/>
      <c r="U193" s="71"/>
      <c r="V193" s="71"/>
      <c r="W193" s="71"/>
      <c r="X193" s="125"/>
      <c r="AB193" s="71"/>
      <c r="AC193" s="71"/>
      <c r="AD193" s="71"/>
      <c r="AE193" s="125"/>
      <c r="AF193" s="71"/>
      <c r="AG193" s="71"/>
      <c r="AH193" s="71"/>
      <c r="AI193" s="218"/>
      <c r="AJ193" s="211"/>
      <c r="AK193" s="211"/>
      <c r="AL193" s="211"/>
      <c r="AP193" s="211"/>
      <c r="AQ193" s="211"/>
      <c r="AR193" s="211"/>
      <c r="AT193" s="211"/>
      <c r="AU193"/>
      <c r="AV193"/>
      <c r="AW193" s="211"/>
    </row>
    <row r="194" spans="2:49" x14ac:dyDescent="0.25">
      <c r="B194" s="450"/>
      <c r="C194" s="71"/>
      <c r="D194" s="71"/>
      <c r="E194" s="71"/>
      <c r="F194" s="317"/>
      <c r="G194" s="317"/>
      <c r="H194" s="317"/>
      <c r="I194" s="317"/>
      <c r="J194" s="71"/>
      <c r="K194" s="71"/>
      <c r="L194" s="71"/>
      <c r="M194" s="71"/>
      <c r="O194" s="71"/>
      <c r="P194" s="71"/>
      <c r="Q194" s="71"/>
      <c r="R194" s="71"/>
      <c r="S194" s="71"/>
      <c r="T194" s="71"/>
      <c r="U194" s="71"/>
      <c r="V194" s="71"/>
      <c r="W194" s="71"/>
      <c r="X194" s="125"/>
      <c r="AB194" s="71"/>
      <c r="AC194" s="71"/>
      <c r="AD194" s="71"/>
      <c r="AE194" s="125"/>
      <c r="AF194" s="71"/>
      <c r="AG194" s="71"/>
      <c r="AH194" s="71"/>
      <c r="AI194" s="218"/>
      <c r="AJ194" s="211"/>
      <c r="AK194" s="211"/>
      <c r="AL194" s="211"/>
      <c r="AP194" s="211"/>
      <c r="AQ194" s="211"/>
      <c r="AR194" s="211"/>
      <c r="AT194" s="211"/>
      <c r="AU194"/>
      <c r="AV194"/>
      <c r="AW194" s="211"/>
    </row>
    <row r="195" spans="2:49" x14ac:dyDescent="0.25">
      <c r="B195" s="450"/>
      <c r="C195" s="71"/>
      <c r="D195" s="71"/>
      <c r="E195" s="71"/>
      <c r="F195" s="317"/>
      <c r="G195" s="317"/>
      <c r="H195" s="317"/>
      <c r="I195" s="317"/>
      <c r="J195" s="71"/>
      <c r="K195" s="71"/>
      <c r="L195" s="71"/>
      <c r="M195" s="71"/>
      <c r="O195" s="71"/>
      <c r="P195" s="71"/>
      <c r="Q195" s="71"/>
      <c r="R195" s="71"/>
      <c r="S195" s="71"/>
      <c r="T195" s="71"/>
      <c r="U195" s="71"/>
      <c r="V195" s="71"/>
      <c r="W195" s="71"/>
      <c r="X195" s="125"/>
      <c r="AB195" s="71"/>
      <c r="AC195" s="71"/>
      <c r="AD195" s="71"/>
      <c r="AE195" s="125"/>
      <c r="AF195" s="71"/>
      <c r="AG195" s="71"/>
      <c r="AH195" s="71"/>
      <c r="AI195" s="218"/>
      <c r="AJ195" s="211"/>
      <c r="AK195" s="211"/>
      <c r="AL195" s="211"/>
      <c r="AP195" s="211"/>
      <c r="AQ195" s="211"/>
      <c r="AR195" s="211"/>
      <c r="AT195" s="211"/>
      <c r="AU195"/>
      <c r="AV195"/>
      <c r="AW195" s="211"/>
    </row>
    <row r="196" spans="2:49" x14ac:dyDescent="0.25">
      <c r="B196" s="450"/>
      <c r="C196" s="71"/>
      <c r="D196" s="71"/>
      <c r="E196" s="71"/>
      <c r="F196" s="317"/>
      <c r="G196" s="317"/>
      <c r="H196" s="317"/>
      <c r="I196" s="317"/>
      <c r="J196" s="71"/>
      <c r="K196" s="71"/>
      <c r="L196" s="71"/>
      <c r="M196" s="71"/>
      <c r="O196" s="71"/>
      <c r="P196" s="71"/>
      <c r="Q196" s="71"/>
      <c r="R196" s="71"/>
      <c r="S196" s="71"/>
      <c r="T196" s="71"/>
      <c r="U196" s="71"/>
      <c r="V196" s="71"/>
      <c r="W196" s="71"/>
      <c r="X196" s="125"/>
      <c r="AB196" s="71"/>
      <c r="AC196" s="71"/>
      <c r="AD196" s="71"/>
      <c r="AE196" s="125"/>
      <c r="AF196" s="71"/>
      <c r="AG196" s="71"/>
      <c r="AH196" s="71"/>
      <c r="AI196" s="218"/>
      <c r="AJ196" s="211"/>
      <c r="AK196" s="211"/>
      <c r="AL196" s="211"/>
      <c r="AP196" s="211"/>
      <c r="AQ196" s="211"/>
      <c r="AR196" s="211"/>
      <c r="AT196" s="211"/>
      <c r="AU196"/>
      <c r="AV196"/>
      <c r="AW196" s="211"/>
    </row>
    <row r="197" spans="2:49" x14ac:dyDescent="0.25">
      <c r="B197" s="450"/>
      <c r="C197" s="71"/>
      <c r="D197" s="71"/>
      <c r="E197" s="71"/>
      <c r="F197" s="317"/>
      <c r="G197" s="317"/>
      <c r="H197" s="317"/>
      <c r="I197" s="317"/>
      <c r="J197" s="71"/>
      <c r="K197" s="71"/>
      <c r="L197" s="71"/>
      <c r="M197" s="71"/>
      <c r="O197" s="71"/>
      <c r="P197" s="71"/>
      <c r="Q197" s="71"/>
      <c r="R197" s="71"/>
      <c r="S197" s="71"/>
      <c r="T197" s="71"/>
      <c r="U197" s="71"/>
      <c r="V197" s="71"/>
      <c r="W197" s="71"/>
      <c r="X197" s="125"/>
      <c r="AB197" s="71"/>
      <c r="AC197" s="71"/>
      <c r="AD197" s="71"/>
      <c r="AE197" s="125"/>
      <c r="AF197" s="71"/>
      <c r="AG197" s="71"/>
      <c r="AH197" s="71"/>
      <c r="AI197" s="218"/>
      <c r="AJ197" s="211"/>
      <c r="AK197" s="211"/>
      <c r="AL197" s="211"/>
      <c r="AP197" s="211"/>
      <c r="AQ197" s="211"/>
      <c r="AR197" s="211"/>
      <c r="AT197" s="211"/>
      <c r="AU197"/>
      <c r="AV197"/>
      <c r="AW197" s="211"/>
    </row>
    <row r="198" spans="2:49" x14ac:dyDescent="0.25">
      <c r="B198" s="450"/>
      <c r="C198" s="71"/>
      <c r="D198" s="71"/>
      <c r="E198" s="71"/>
      <c r="F198" s="317"/>
      <c r="G198" s="317"/>
      <c r="H198" s="317"/>
      <c r="I198" s="317"/>
      <c r="J198" s="71"/>
      <c r="K198" s="71"/>
      <c r="L198" s="71"/>
      <c r="M198" s="71"/>
      <c r="O198" s="71"/>
      <c r="P198" s="71"/>
      <c r="Q198" s="71"/>
      <c r="R198" s="71"/>
      <c r="S198" s="71"/>
      <c r="T198" s="71"/>
      <c r="U198" s="71"/>
      <c r="V198" s="71"/>
      <c r="W198" s="71"/>
      <c r="X198" s="125"/>
      <c r="AB198" s="71"/>
      <c r="AC198" s="71"/>
      <c r="AD198" s="71"/>
      <c r="AE198" s="125"/>
      <c r="AF198" s="71"/>
      <c r="AG198" s="71"/>
      <c r="AH198" s="71"/>
      <c r="AI198" s="218"/>
      <c r="AJ198" s="211"/>
      <c r="AK198" s="211"/>
      <c r="AL198" s="211"/>
      <c r="AP198" s="211"/>
      <c r="AQ198" s="211"/>
      <c r="AR198" s="211"/>
      <c r="AT198" s="211"/>
      <c r="AU198"/>
      <c r="AV198"/>
      <c r="AW198" s="211"/>
    </row>
    <row r="199" spans="2:49" x14ac:dyDescent="0.25">
      <c r="B199" s="450"/>
      <c r="C199" s="71"/>
      <c r="D199" s="71"/>
      <c r="E199" s="71"/>
      <c r="F199" s="317"/>
      <c r="G199" s="317"/>
      <c r="H199" s="317"/>
      <c r="I199" s="317"/>
      <c r="J199" s="71"/>
      <c r="K199" s="71"/>
      <c r="L199" s="71"/>
      <c r="M199" s="71"/>
      <c r="O199" s="71"/>
      <c r="P199" s="71"/>
      <c r="Q199" s="71"/>
      <c r="R199" s="71"/>
      <c r="S199" s="71"/>
      <c r="T199" s="71"/>
      <c r="U199" s="71"/>
      <c r="V199" s="71"/>
      <c r="W199" s="71"/>
      <c r="X199" s="125"/>
      <c r="AB199" s="71"/>
      <c r="AC199" s="71"/>
      <c r="AD199" s="71"/>
      <c r="AE199" s="125"/>
      <c r="AF199" s="71"/>
      <c r="AG199" s="71"/>
      <c r="AH199" s="71"/>
      <c r="AI199" s="218"/>
      <c r="AJ199" s="211"/>
      <c r="AK199" s="211"/>
      <c r="AL199" s="211"/>
      <c r="AP199" s="211"/>
      <c r="AQ199" s="211"/>
      <c r="AR199" s="211"/>
      <c r="AT199" s="211"/>
      <c r="AU199"/>
      <c r="AV199"/>
      <c r="AW199" s="211"/>
    </row>
    <row r="200" spans="2:49" x14ac:dyDescent="0.25">
      <c r="B200" s="450"/>
      <c r="C200" s="71"/>
      <c r="D200" s="71"/>
      <c r="E200" s="71"/>
      <c r="F200" s="317"/>
      <c r="G200" s="317"/>
      <c r="H200" s="317"/>
      <c r="I200" s="317"/>
      <c r="J200" s="71"/>
      <c r="K200" s="71"/>
      <c r="L200" s="71"/>
      <c r="M200" s="71"/>
      <c r="O200" s="71"/>
      <c r="P200" s="71"/>
      <c r="Q200" s="71"/>
      <c r="R200" s="71"/>
      <c r="S200" s="71"/>
      <c r="T200" s="71"/>
      <c r="U200" s="71"/>
      <c r="V200" s="71"/>
      <c r="W200" s="71"/>
      <c r="X200" s="125"/>
      <c r="AB200" s="71"/>
      <c r="AC200" s="71"/>
      <c r="AD200" s="71"/>
      <c r="AE200" s="125"/>
      <c r="AF200" s="71"/>
      <c r="AG200" s="71"/>
      <c r="AH200" s="71"/>
      <c r="AI200" s="218"/>
      <c r="AJ200" s="211"/>
      <c r="AK200" s="211"/>
      <c r="AL200" s="211"/>
      <c r="AP200" s="211"/>
      <c r="AQ200" s="211"/>
      <c r="AR200" s="211"/>
      <c r="AT200" s="211"/>
      <c r="AU200"/>
      <c r="AV200"/>
      <c r="AW200" s="211"/>
    </row>
    <row r="201" spans="2:49" x14ac:dyDescent="0.25">
      <c r="B201" s="450"/>
      <c r="C201" s="71"/>
      <c r="D201" s="71"/>
      <c r="E201" s="71"/>
      <c r="F201" s="317"/>
      <c r="G201" s="317"/>
      <c r="H201" s="317"/>
      <c r="I201" s="317"/>
      <c r="J201" s="71"/>
      <c r="K201" s="71"/>
      <c r="L201" s="71"/>
      <c r="M201" s="71"/>
      <c r="O201" s="71"/>
      <c r="P201" s="71"/>
      <c r="Q201" s="71"/>
      <c r="R201" s="71"/>
      <c r="S201" s="71"/>
      <c r="T201" s="71"/>
      <c r="U201" s="71"/>
      <c r="V201" s="71"/>
      <c r="W201" s="71"/>
      <c r="X201" s="125"/>
      <c r="AB201" s="71"/>
      <c r="AC201" s="71"/>
      <c r="AD201" s="71"/>
      <c r="AE201" s="125"/>
      <c r="AF201" s="71"/>
      <c r="AG201" s="71"/>
      <c r="AH201" s="71"/>
      <c r="AI201" s="218"/>
      <c r="AJ201" s="211"/>
      <c r="AK201" s="211"/>
      <c r="AL201" s="211"/>
      <c r="AP201" s="211"/>
      <c r="AQ201" s="211"/>
      <c r="AR201" s="211"/>
      <c r="AT201" s="211"/>
      <c r="AU201"/>
      <c r="AV201"/>
      <c r="AW201" s="211"/>
    </row>
    <row r="202" spans="2:49" x14ac:dyDescent="0.25">
      <c r="B202" s="450"/>
      <c r="C202" s="71"/>
      <c r="D202" s="71"/>
      <c r="E202" s="71"/>
      <c r="F202" s="317"/>
      <c r="G202" s="317"/>
      <c r="H202" s="317"/>
      <c r="I202" s="317"/>
      <c r="J202" s="71"/>
      <c r="K202" s="71"/>
      <c r="L202" s="71"/>
      <c r="M202" s="71"/>
      <c r="O202" s="71"/>
      <c r="P202" s="71"/>
      <c r="Q202" s="71"/>
      <c r="R202" s="71"/>
      <c r="S202" s="71"/>
      <c r="T202" s="71"/>
      <c r="U202" s="71"/>
      <c r="V202" s="71"/>
      <c r="W202" s="71"/>
      <c r="X202" s="125"/>
      <c r="AB202" s="71"/>
      <c r="AC202" s="71"/>
      <c r="AD202" s="71"/>
      <c r="AE202" s="125"/>
      <c r="AF202" s="71"/>
      <c r="AG202" s="71"/>
      <c r="AH202" s="71"/>
      <c r="AI202" s="218"/>
      <c r="AJ202" s="211"/>
      <c r="AK202" s="211"/>
      <c r="AL202" s="211"/>
      <c r="AP202" s="211"/>
      <c r="AQ202" s="211"/>
      <c r="AR202" s="211"/>
      <c r="AT202" s="211"/>
      <c r="AU202"/>
      <c r="AV202"/>
      <c r="AW202" s="211"/>
    </row>
    <row r="203" spans="2:49" x14ac:dyDescent="0.25">
      <c r="B203" s="450"/>
      <c r="C203" s="71"/>
      <c r="D203" s="71"/>
      <c r="E203" s="71"/>
      <c r="F203" s="317"/>
      <c r="G203" s="317"/>
      <c r="H203" s="317"/>
      <c r="I203" s="317"/>
      <c r="J203" s="71"/>
      <c r="K203" s="71"/>
      <c r="L203" s="71"/>
      <c r="M203" s="71"/>
      <c r="O203" s="71"/>
      <c r="P203" s="71"/>
      <c r="Q203" s="71"/>
      <c r="R203" s="71"/>
      <c r="S203" s="71"/>
      <c r="T203" s="71"/>
      <c r="U203" s="71"/>
      <c r="V203" s="71"/>
      <c r="W203" s="71"/>
      <c r="X203" s="125"/>
      <c r="AB203" s="71"/>
      <c r="AC203" s="71"/>
      <c r="AD203" s="71"/>
      <c r="AE203" s="125"/>
      <c r="AF203" s="71"/>
      <c r="AG203" s="71"/>
      <c r="AH203" s="71"/>
      <c r="AI203" s="218"/>
      <c r="AJ203" s="211"/>
      <c r="AK203" s="211"/>
      <c r="AL203" s="211"/>
      <c r="AP203" s="211"/>
      <c r="AQ203" s="211"/>
      <c r="AR203" s="211"/>
      <c r="AT203" s="211"/>
      <c r="AU203"/>
      <c r="AV203"/>
      <c r="AW203" s="211"/>
    </row>
    <row r="204" spans="2:49" x14ac:dyDescent="0.25">
      <c r="B204" s="450"/>
      <c r="C204" s="71"/>
      <c r="D204" s="71"/>
      <c r="E204" s="71"/>
      <c r="F204" s="317"/>
      <c r="G204" s="317"/>
      <c r="H204" s="317"/>
      <c r="I204" s="317"/>
      <c r="J204" s="71"/>
      <c r="K204" s="71"/>
      <c r="L204" s="71"/>
      <c r="M204" s="71"/>
      <c r="O204" s="71"/>
      <c r="P204" s="71"/>
      <c r="Q204" s="71"/>
      <c r="R204" s="71"/>
      <c r="S204" s="71"/>
      <c r="T204" s="71"/>
      <c r="U204" s="71"/>
      <c r="V204" s="71"/>
      <c r="W204" s="71"/>
      <c r="X204" s="125"/>
      <c r="AB204" s="71"/>
      <c r="AC204" s="71"/>
      <c r="AD204" s="71"/>
      <c r="AE204" s="125"/>
      <c r="AF204" s="71"/>
      <c r="AG204" s="71"/>
      <c r="AH204" s="71"/>
      <c r="AI204" s="218"/>
      <c r="AJ204" s="211"/>
      <c r="AK204" s="211"/>
      <c r="AL204" s="211"/>
      <c r="AP204" s="211"/>
      <c r="AQ204" s="211"/>
      <c r="AR204" s="211"/>
      <c r="AT204" s="211"/>
      <c r="AU204"/>
      <c r="AV204"/>
      <c r="AW204" s="211"/>
    </row>
    <row r="205" spans="2:49" x14ac:dyDescent="0.25">
      <c r="B205" s="450"/>
      <c r="C205" s="71"/>
      <c r="D205" s="71"/>
      <c r="E205" s="71"/>
      <c r="F205" s="317"/>
      <c r="G205" s="317"/>
      <c r="H205" s="317"/>
      <c r="I205" s="317"/>
      <c r="J205" s="71"/>
      <c r="K205" s="71"/>
      <c r="L205" s="71"/>
      <c r="M205" s="71"/>
      <c r="O205" s="71"/>
      <c r="P205" s="71"/>
      <c r="Q205" s="71"/>
      <c r="R205" s="71"/>
      <c r="S205" s="71"/>
      <c r="T205" s="71"/>
      <c r="U205" s="71"/>
      <c r="V205" s="71"/>
      <c r="W205" s="71"/>
      <c r="X205" s="125"/>
      <c r="AB205" s="71"/>
      <c r="AC205" s="71"/>
      <c r="AD205" s="71"/>
      <c r="AE205" s="125"/>
      <c r="AF205" s="71"/>
      <c r="AG205" s="71"/>
      <c r="AH205" s="71"/>
      <c r="AI205" s="218"/>
      <c r="AJ205" s="211"/>
      <c r="AK205" s="211"/>
      <c r="AL205" s="211"/>
      <c r="AP205" s="211"/>
      <c r="AQ205" s="211"/>
      <c r="AR205" s="211"/>
      <c r="AT205" s="211"/>
      <c r="AU205"/>
      <c r="AV205"/>
      <c r="AW205" s="211"/>
    </row>
    <row r="206" spans="2:49" x14ac:dyDescent="0.25">
      <c r="B206" s="450"/>
      <c r="C206" s="71"/>
      <c r="D206" s="71"/>
      <c r="E206" s="71"/>
      <c r="F206" s="317"/>
      <c r="G206" s="317"/>
      <c r="H206" s="317"/>
      <c r="I206" s="317"/>
      <c r="J206" s="71"/>
      <c r="K206" s="71"/>
      <c r="L206" s="71"/>
      <c r="M206" s="71"/>
      <c r="O206" s="71"/>
      <c r="P206" s="71"/>
      <c r="Q206" s="71"/>
      <c r="R206" s="71"/>
      <c r="S206" s="71"/>
      <c r="T206" s="71"/>
      <c r="U206" s="71"/>
      <c r="V206" s="71"/>
      <c r="W206" s="71"/>
      <c r="X206" s="125"/>
      <c r="AB206" s="71"/>
      <c r="AC206" s="71"/>
      <c r="AD206" s="71"/>
      <c r="AE206" s="125"/>
      <c r="AF206" s="71"/>
      <c r="AG206" s="71"/>
      <c r="AH206" s="71"/>
      <c r="AI206" s="218"/>
      <c r="AJ206" s="211"/>
      <c r="AK206" s="211"/>
      <c r="AL206" s="211"/>
      <c r="AP206" s="211"/>
      <c r="AQ206" s="211"/>
      <c r="AR206" s="211"/>
      <c r="AT206" s="211"/>
      <c r="AU206"/>
      <c r="AV206"/>
      <c r="AW206" s="211"/>
    </row>
    <row r="207" spans="2:49" x14ac:dyDescent="0.25">
      <c r="B207" s="450"/>
      <c r="C207" s="71"/>
      <c r="D207" s="71"/>
      <c r="E207" s="71"/>
      <c r="F207" s="317"/>
      <c r="G207" s="317"/>
      <c r="H207" s="317"/>
      <c r="I207" s="317"/>
      <c r="J207" s="71"/>
      <c r="K207" s="71"/>
      <c r="L207" s="71"/>
      <c r="M207" s="71"/>
      <c r="O207" s="71"/>
      <c r="P207" s="71"/>
      <c r="Q207" s="71"/>
      <c r="R207" s="71"/>
      <c r="S207" s="71"/>
      <c r="T207" s="71"/>
      <c r="U207" s="71"/>
      <c r="V207" s="71"/>
      <c r="W207" s="71"/>
      <c r="X207" s="125"/>
      <c r="AB207" s="71"/>
      <c r="AC207" s="71"/>
      <c r="AD207" s="71"/>
      <c r="AE207" s="125"/>
      <c r="AF207" s="71"/>
      <c r="AG207" s="71"/>
      <c r="AH207" s="71"/>
      <c r="AI207" s="218"/>
      <c r="AJ207" s="211"/>
      <c r="AK207" s="211"/>
      <c r="AL207" s="211"/>
      <c r="AP207" s="211"/>
      <c r="AQ207" s="211"/>
      <c r="AR207" s="211"/>
      <c r="AT207" s="211"/>
      <c r="AU207"/>
      <c r="AV207"/>
      <c r="AW207" s="211"/>
    </row>
    <row r="208" spans="2:49" x14ac:dyDescent="0.25">
      <c r="B208" s="450"/>
      <c r="C208" s="71"/>
      <c r="D208" s="71"/>
      <c r="E208" s="71"/>
      <c r="F208" s="317"/>
      <c r="G208" s="317"/>
      <c r="H208" s="317"/>
      <c r="I208" s="317"/>
      <c r="J208" s="71"/>
      <c r="K208" s="71"/>
      <c r="L208" s="71"/>
      <c r="M208" s="71"/>
      <c r="O208" s="71"/>
      <c r="P208" s="71"/>
      <c r="Q208" s="71"/>
      <c r="R208" s="71"/>
      <c r="S208" s="71"/>
      <c r="T208" s="71"/>
      <c r="U208" s="71"/>
      <c r="V208" s="71"/>
      <c r="W208" s="71"/>
      <c r="X208" s="125"/>
      <c r="AB208" s="71"/>
      <c r="AC208" s="71"/>
      <c r="AD208" s="71"/>
      <c r="AE208" s="125"/>
      <c r="AF208" s="71"/>
      <c r="AG208" s="71"/>
      <c r="AH208" s="71"/>
      <c r="AI208" s="218"/>
      <c r="AJ208" s="211"/>
      <c r="AK208" s="211"/>
      <c r="AL208" s="211"/>
      <c r="AP208" s="211"/>
      <c r="AQ208" s="211"/>
      <c r="AR208" s="211"/>
      <c r="AT208" s="211"/>
      <c r="AU208"/>
      <c r="AV208"/>
      <c r="AW208" s="211"/>
    </row>
    <row r="209" spans="2:49" x14ac:dyDescent="0.25">
      <c r="B209" s="450"/>
      <c r="C209" s="71"/>
      <c r="D209" s="71"/>
      <c r="E209" s="71"/>
      <c r="F209" s="317"/>
      <c r="G209" s="317"/>
      <c r="H209" s="317"/>
      <c r="I209" s="317"/>
      <c r="J209" s="71"/>
      <c r="K209" s="71"/>
      <c r="L209" s="71"/>
      <c r="M209" s="71"/>
      <c r="O209" s="71"/>
      <c r="P209" s="71"/>
      <c r="Q209" s="71"/>
      <c r="R209" s="71"/>
      <c r="S209" s="71"/>
      <c r="T209" s="71"/>
      <c r="U209" s="71"/>
      <c r="V209" s="71"/>
      <c r="W209" s="71"/>
      <c r="X209" s="125"/>
      <c r="AB209" s="71"/>
      <c r="AC209" s="71"/>
      <c r="AD209" s="71"/>
      <c r="AE209" s="125"/>
      <c r="AF209" s="71"/>
      <c r="AG209" s="71"/>
      <c r="AH209" s="71"/>
      <c r="AI209" s="218"/>
      <c r="AJ209" s="211"/>
      <c r="AK209" s="211"/>
      <c r="AL209" s="211"/>
      <c r="AP209" s="211"/>
      <c r="AQ209" s="211"/>
      <c r="AR209" s="211"/>
      <c r="AT209" s="211"/>
      <c r="AU209"/>
      <c r="AV209"/>
      <c r="AW209" s="211"/>
    </row>
    <row r="210" spans="2:49" x14ac:dyDescent="0.25">
      <c r="B210" s="450"/>
      <c r="C210" s="71"/>
      <c r="D210" s="71"/>
      <c r="E210" s="71"/>
      <c r="F210" s="317"/>
      <c r="G210" s="317"/>
      <c r="H210" s="317"/>
      <c r="I210" s="317"/>
      <c r="J210" s="71"/>
      <c r="K210" s="71"/>
      <c r="L210" s="71"/>
      <c r="M210" s="71"/>
      <c r="O210" s="71"/>
      <c r="P210" s="71"/>
      <c r="Q210" s="71"/>
      <c r="R210" s="71"/>
      <c r="S210" s="71"/>
      <c r="T210" s="71"/>
      <c r="U210" s="71"/>
      <c r="V210" s="71"/>
      <c r="W210" s="71"/>
      <c r="X210" s="125"/>
      <c r="AB210" s="71"/>
      <c r="AC210" s="71"/>
      <c r="AD210" s="71"/>
      <c r="AE210" s="125"/>
      <c r="AF210" s="71"/>
      <c r="AG210" s="71"/>
      <c r="AH210" s="71"/>
      <c r="AI210" s="218"/>
      <c r="AJ210" s="211"/>
      <c r="AK210" s="211"/>
      <c r="AL210" s="211"/>
      <c r="AP210" s="211"/>
      <c r="AQ210" s="211"/>
      <c r="AR210" s="211"/>
      <c r="AT210" s="211"/>
      <c r="AU210"/>
      <c r="AV210"/>
      <c r="AW210" s="211"/>
    </row>
    <row r="211" spans="2:49" x14ac:dyDescent="0.25">
      <c r="B211" s="450"/>
      <c r="C211" s="71"/>
      <c r="D211" s="71"/>
      <c r="E211" s="71"/>
      <c r="F211" s="317"/>
      <c r="G211" s="317"/>
      <c r="H211" s="317"/>
      <c r="I211" s="317"/>
      <c r="J211" s="71"/>
      <c r="K211" s="71"/>
      <c r="L211" s="71"/>
      <c r="M211" s="71"/>
      <c r="O211" s="71"/>
      <c r="P211" s="71"/>
      <c r="Q211" s="71"/>
      <c r="R211" s="71"/>
      <c r="S211" s="71"/>
      <c r="T211" s="71"/>
      <c r="U211" s="71"/>
      <c r="V211" s="71"/>
      <c r="W211" s="71"/>
      <c r="X211" s="125"/>
      <c r="AB211" s="71"/>
      <c r="AC211" s="71"/>
      <c r="AD211" s="71"/>
      <c r="AE211" s="125"/>
      <c r="AF211" s="71"/>
      <c r="AG211" s="71"/>
      <c r="AH211" s="71"/>
      <c r="AI211" s="218"/>
      <c r="AJ211" s="211"/>
      <c r="AK211" s="211"/>
      <c r="AL211" s="211"/>
      <c r="AP211" s="211"/>
      <c r="AQ211" s="211"/>
      <c r="AR211" s="211"/>
      <c r="AT211" s="211"/>
      <c r="AU211"/>
      <c r="AV211"/>
      <c r="AW211" s="211"/>
    </row>
    <row r="212" spans="2:49" x14ac:dyDescent="0.25">
      <c r="B212" s="450"/>
      <c r="C212" s="71"/>
      <c r="D212" s="71"/>
      <c r="E212" s="71"/>
      <c r="F212" s="317"/>
      <c r="G212" s="317"/>
      <c r="H212" s="317"/>
      <c r="I212" s="317"/>
      <c r="J212" s="71"/>
      <c r="K212" s="71"/>
      <c r="L212" s="71"/>
      <c r="M212" s="71"/>
      <c r="O212" s="71"/>
      <c r="P212" s="71"/>
      <c r="Q212" s="71"/>
      <c r="R212" s="71"/>
      <c r="S212" s="71"/>
      <c r="T212" s="71"/>
      <c r="U212" s="71"/>
      <c r="V212" s="71"/>
      <c r="W212" s="71"/>
      <c r="X212" s="125"/>
      <c r="AB212" s="71"/>
      <c r="AC212" s="71"/>
      <c r="AD212" s="71"/>
      <c r="AE212" s="125"/>
      <c r="AF212" s="71"/>
      <c r="AG212" s="71"/>
      <c r="AH212" s="71"/>
      <c r="AI212" s="218"/>
      <c r="AJ212" s="211"/>
      <c r="AK212" s="211"/>
      <c r="AL212" s="211"/>
      <c r="AP212" s="211"/>
      <c r="AQ212" s="211"/>
      <c r="AR212" s="211"/>
      <c r="AT212" s="211"/>
      <c r="AU212"/>
      <c r="AV212"/>
      <c r="AW212" s="211"/>
    </row>
    <row r="213" spans="2:49" x14ac:dyDescent="0.25">
      <c r="B213" s="450"/>
      <c r="C213" s="71"/>
      <c r="D213" s="71"/>
      <c r="E213" s="71"/>
      <c r="F213" s="317"/>
      <c r="G213" s="317"/>
      <c r="H213" s="317"/>
      <c r="I213" s="317"/>
      <c r="J213" s="71"/>
      <c r="K213" s="71"/>
      <c r="L213" s="71"/>
      <c r="M213" s="71"/>
      <c r="O213" s="71"/>
      <c r="P213" s="71"/>
      <c r="Q213" s="71"/>
      <c r="R213" s="71"/>
      <c r="S213" s="71"/>
      <c r="T213" s="71"/>
      <c r="U213" s="71"/>
      <c r="V213" s="71"/>
      <c r="W213" s="71"/>
      <c r="X213" s="125"/>
      <c r="AB213" s="71"/>
      <c r="AC213" s="71"/>
      <c r="AD213" s="71"/>
      <c r="AE213" s="125"/>
      <c r="AF213" s="71"/>
      <c r="AG213" s="71"/>
      <c r="AH213" s="71"/>
      <c r="AI213" s="218"/>
      <c r="AJ213" s="211"/>
      <c r="AK213" s="211"/>
      <c r="AL213" s="211"/>
      <c r="AP213" s="211"/>
      <c r="AQ213" s="211"/>
      <c r="AR213" s="211"/>
      <c r="AT213" s="211"/>
      <c r="AU213"/>
      <c r="AV213"/>
      <c r="AW213" s="211"/>
    </row>
    <row r="214" spans="2:49" x14ac:dyDescent="0.25">
      <c r="B214" s="450"/>
      <c r="C214" s="71"/>
      <c r="D214" s="71"/>
      <c r="E214" s="71"/>
      <c r="F214" s="317"/>
      <c r="G214" s="317"/>
      <c r="H214" s="317"/>
      <c r="I214" s="317"/>
      <c r="J214" s="71"/>
      <c r="K214" s="71"/>
      <c r="L214" s="71"/>
      <c r="M214" s="71"/>
      <c r="O214" s="71"/>
      <c r="P214" s="71"/>
      <c r="Q214" s="71"/>
      <c r="R214" s="71"/>
      <c r="S214" s="71"/>
      <c r="T214" s="71"/>
      <c r="U214" s="71"/>
      <c r="V214" s="71"/>
      <c r="W214" s="71"/>
      <c r="X214" s="125"/>
      <c r="AB214" s="71"/>
      <c r="AC214" s="71"/>
      <c r="AD214" s="71"/>
      <c r="AE214" s="125"/>
      <c r="AF214" s="71"/>
      <c r="AG214" s="71"/>
      <c r="AH214" s="71"/>
      <c r="AI214" s="218"/>
      <c r="AJ214" s="211"/>
      <c r="AK214" s="211"/>
      <c r="AL214" s="211"/>
      <c r="AP214" s="211"/>
      <c r="AQ214" s="211"/>
      <c r="AR214" s="211"/>
      <c r="AT214" s="211"/>
      <c r="AU214"/>
      <c r="AV214"/>
      <c r="AW214" s="211"/>
    </row>
    <row r="215" spans="2:49" x14ac:dyDescent="0.25">
      <c r="B215" s="450"/>
      <c r="C215" s="71"/>
      <c r="D215" s="71"/>
      <c r="E215" s="71"/>
      <c r="F215" s="317"/>
      <c r="G215" s="317"/>
      <c r="H215" s="317"/>
      <c r="I215" s="317"/>
      <c r="J215" s="71"/>
      <c r="K215" s="71"/>
      <c r="L215" s="71"/>
      <c r="M215" s="71"/>
      <c r="O215" s="71"/>
      <c r="P215" s="71"/>
      <c r="Q215" s="71"/>
      <c r="R215" s="71"/>
      <c r="S215" s="71"/>
      <c r="T215" s="71"/>
      <c r="U215" s="71"/>
      <c r="V215" s="71"/>
      <c r="W215" s="71"/>
      <c r="X215" s="125"/>
      <c r="AB215" s="71"/>
      <c r="AC215" s="71"/>
      <c r="AD215" s="71"/>
      <c r="AE215" s="125"/>
      <c r="AF215" s="71"/>
      <c r="AG215" s="71"/>
      <c r="AH215" s="71"/>
      <c r="AI215" s="218"/>
      <c r="AJ215" s="211"/>
      <c r="AK215" s="211"/>
      <c r="AL215" s="211"/>
      <c r="AP215" s="211"/>
      <c r="AQ215" s="211"/>
      <c r="AR215" s="211"/>
      <c r="AT215" s="211"/>
      <c r="AU215"/>
      <c r="AV215"/>
      <c r="AW215" s="211"/>
    </row>
    <row r="216" spans="2:49" x14ac:dyDescent="0.25">
      <c r="B216" s="450"/>
      <c r="C216" s="71"/>
      <c r="D216" s="71"/>
      <c r="E216" s="71"/>
      <c r="F216" s="317"/>
      <c r="G216" s="317"/>
      <c r="H216" s="317"/>
      <c r="I216" s="317"/>
      <c r="J216" s="71"/>
      <c r="K216" s="71"/>
      <c r="L216" s="71"/>
      <c r="M216" s="71"/>
      <c r="O216" s="71"/>
      <c r="P216" s="71"/>
      <c r="Q216" s="71"/>
      <c r="R216" s="71"/>
      <c r="S216" s="71"/>
      <c r="T216" s="71"/>
      <c r="U216" s="71"/>
      <c r="V216" s="71"/>
      <c r="W216" s="71"/>
      <c r="X216" s="125"/>
      <c r="AB216" s="71"/>
      <c r="AC216" s="71"/>
      <c r="AD216" s="71"/>
      <c r="AE216" s="125"/>
      <c r="AF216" s="71"/>
      <c r="AG216" s="71"/>
      <c r="AH216" s="71"/>
      <c r="AI216" s="218"/>
      <c r="AJ216" s="211"/>
      <c r="AK216" s="211"/>
      <c r="AL216" s="211"/>
      <c r="AP216" s="211"/>
      <c r="AQ216" s="211"/>
      <c r="AR216" s="211"/>
      <c r="AT216" s="211"/>
      <c r="AU216"/>
      <c r="AV216"/>
      <c r="AW216" s="211"/>
    </row>
    <row r="217" spans="2:49" x14ac:dyDescent="0.25">
      <c r="B217" s="450"/>
      <c r="C217" s="71"/>
      <c r="D217" s="71"/>
      <c r="E217" s="71"/>
      <c r="F217" s="317"/>
      <c r="G217" s="317"/>
      <c r="H217" s="317"/>
      <c r="I217" s="317"/>
      <c r="J217" s="71"/>
      <c r="K217" s="71"/>
      <c r="L217" s="71"/>
      <c r="M217" s="71"/>
      <c r="O217" s="71"/>
      <c r="P217" s="71"/>
      <c r="Q217" s="71"/>
      <c r="R217" s="71"/>
      <c r="S217" s="71"/>
      <c r="T217" s="71"/>
      <c r="U217" s="71"/>
      <c r="V217" s="71"/>
      <c r="W217" s="71"/>
      <c r="X217" s="125"/>
      <c r="AB217" s="71"/>
      <c r="AC217" s="71"/>
      <c r="AD217" s="71"/>
      <c r="AE217" s="125"/>
      <c r="AF217" s="71"/>
      <c r="AG217" s="71"/>
      <c r="AH217" s="71"/>
      <c r="AI217" s="218"/>
      <c r="AJ217" s="211"/>
      <c r="AK217" s="211"/>
      <c r="AL217" s="211"/>
      <c r="AP217" s="211"/>
      <c r="AQ217" s="211"/>
      <c r="AR217" s="211"/>
      <c r="AT217" s="211"/>
      <c r="AU217"/>
      <c r="AV217"/>
      <c r="AW217" s="211"/>
    </row>
    <row r="218" spans="2:49" x14ac:dyDescent="0.25">
      <c r="B218" s="450"/>
      <c r="C218" s="71"/>
      <c r="D218" s="71"/>
      <c r="E218" s="71"/>
      <c r="F218" s="317"/>
      <c r="G218" s="317"/>
      <c r="H218" s="317"/>
      <c r="I218" s="317"/>
      <c r="J218" s="71"/>
      <c r="K218" s="71"/>
      <c r="L218" s="71"/>
      <c r="M218" s="71"/>
      <c r="O218" s="71"/>
      <c r="P218" s="71"/>
      <c r="Q218" s="71"/>
      <c r="R218" s="71"/>
      <c r="S218" s="71"/>
      <c r="T218" s="71"/>
      <c r="U218" s="71"/>
      <c r="V218" s="71"/>
      <c r="W218" s="71"/>
      <c r="X218" s="125"/>
      <c r="AB218" s="71"/>
      <c r="AC218" s="71"/>
      <c r="AD218" s="71"/>
      <c r="AE218" s="125"/>
      <c r="AF218" s="71"/>
      <c r="AG218" s="71"/>
      <c r="AH218" s="71"/>
      <c r="AI218" s="218"/>
      <c r="AJ218" s="211"/>
      <c r="AK218" s="211"/>
      <c r="AL218" s="211"/>
      <c r="AP218" s="211"/>
      <c r="AQ218" s="211"/>
      <c r="AR218" s="211"/>
      <c r="AT218" s="211"/>
      <c r="AU218"/>
      <c r="AV218"/>
      <c r="AW218" s="211"/>
    </row>
    <row r="219" spans="2:49" x14ac:dyDescent="0.25">
      <c r="B219" s="450"/>
      <c r="C219" s="71"/>
      <c r="D219" s="71"/>
      <c r="E219" s="71"/>
      <c r="F219" s="317"/>
      <c r="G219" s="317"/>
      <c r="H219" s="317"/>
      <c r="I219" s="317"/>
      <c r="J219" s="71"/>
      <c r="K219" s="71"/>
      <c r="L219" s="71"/>
      <c r="M219" s="71"/>
      <c r="O219" s="71"/>
      <c r="P219" s="71"/>
      <c r="Q219" s="71"/>
      <c r="R219" s="71"/>
      <c r="S219" s="71"/>
      <c r="T219" s="71"/>
      <c r="U219" s="71"/>
      <c r="V219" s="71"/>
      <c r="W219" s="71"/>
      <c r="X219" s="125"/>
      <c r="AB219" s="71"/>
      <c r="AC219" s="71"/>
      <c r="AD219" s="71"/>
      <c r="AE219" s="125"/>
      <c r="AF219" s="71"/>
      <c r="AG219" s="71"/>
      <c r="AH219" s="71"/>
      <c r="AI219" s="218"/>
      <c r="AJ219" s="211"/>
      <c r="AK219" s="211"/>
      <c r="AL219" s="211"/>
      <c r="AP219" s="211"/>
      <c r="AQ219" s="211"/>
      <c r="AR219" s="211"/>
      <c r="AT219" s="211"/>
      <c r="AU219"/>
      <c r="AV219"/>
      <c r="AW219" s="211"/>
    </row>
    <row r="220" spans="2:49" x14ac:dyDescent="0.25">
      <c r="B220" s="450"/>
      <c r="C220" s="71"/>
      <c r="D220" s="71"/>
      <c r="E220" s="71"/>
      <c r="F220" s="317"/>
      <c r="G220" s="317"/>
      <c r="H220" s="317"/>
      <c r="I220" s="317"/>
      <c r="J220" s="71"/>
      <c r="K220" s="71"/>
      <c r="L220" s="71"/>
      <c r="M220" s="71"/>
      <c r="O220" s="71"/>
      <c r="P220" s="71"/>
      <c r="Q220" s="71"/>
      <c r="R220" s="71"/>
      <c r="S220" s="71"/>
      <c r="T220" s="71"/>
      <c r="U220" s="71"/>
      <c r="V220" s="71"/>
      <c r="W220" s="71"/>
      <c r="X220" s="125"/>
      <c r="AB220" s="71"/>
      <c r="AC220" s="71"/>
      <c r="AD220" s="71"/>
      <c r="AE220" s="125"/>
      <c r="AF220" s="71"/>
      <c r="AG220" s="71"/>
      <c r="AH220" s="71"/>
      <c r="AI220" s="218"/>
      <c r="AJ220" s="211"/>
      <c r="AK220" s="211"/>
      <c r="AL220" s="211"/>
      <c r="AP220" s="211"/>
      <c r="AQ220" s="211"/>
      <c r="AR220" s="211"/>
      <c r="AT220" s="211"/>
      <c r="AU220"/>
      <c r="AV220"/>
      <c r="AW220" s="211"/>
    </row>
    <row r="221" spans="2:49" x14ac:dyDescent="0.25">
      <c r="B221" s="450"/>
      <c r="C221" s="71"/>
      <c r="D221" s="71"/>
      <c r="E221" s="71"/>
      <c r="F221" s="317"/>
      <c r="G221" s="317"/>
      <c r="H221" s="317"/>
      <c r="I221" s="317"/>
      <c r="J221" s="71"/>
      <c r="K221" s="71"/>
      <c r="L221" s="71"/>
      <c r="M221" s="71"/>
      <c r="O221" s="71"/>
      <c r="P221" s="71"/>
      <c r="Q221" s="71"/>
      <c r="R221" s="71"/>
      <c r="S221" s="71"/>
      <c r="T221" s="71"/>
      <c r="U221" s="71"/>
      <c r="V221" s="71"/>
      <c r="W221" s="71"/>
      <c r="X221" s="125"/>
      <c r="AB221" s="71"/>
      <c r="AC221" s="71"/>
      <c r="AD221" s="71"/>
      <c r="AE221" s="125"/>
      <c r="AF221" s="71"/>
      <c r="AG221" s="71"/>
      <c r="AH221" s="71"/>
      <c r="AI221" s="218"/>
      <c r="AJ221" s="211"/>
      <c r="AK221" s="211"/>
      <c r="AL221" s="211"/>
      <c r="AP221" s="211"/>
      <c r="AQ221" s="211"/>
      <c r="AR221" s="211"/>
      <c r="AT221" s="211"/>
      <c r="AU221"/>
      <c r="AV221"/>
      <c r="AW221" s="211"/>
    </row>
    <row r="222" spans="2:49" x14ac:dyDescent="0.25">
      <c r="B222" s="450"/>
      <c r="C222" s="71"/>
      <c r="D222" s="71"/>
      <c r="E222" s="71"/>
      <c r="F222" s="317"/>
      <c r="G222" s="317"/>
      <c r="H222" s="317"/>
      <c r="I222" s="317"/>
      <c r="J222" s="71"/>
      <c r="K222" s="71"/>
      <c r="L222" s="71"/>
      <c r="M222" s="71"/>
      <c r="O222" s="71"/>
      <c r="P222" s="71"/>
      <c r="Q222" s="71"/>
      <c r="R222" s="71"/>
      <c r="S222" s="71"/>
      <c r="T222" s="71"/>
      <c r="U222" s="71"/>
      <c r="V222" s="71"/>
      <c r="W222" s="71"/>
      <c r="X222" s="125"/>
      <c r="AB222" s="71"/>
      <c r="AC222" s="71"/>
      <c r="AD222" s="71"/>
      <c r="AE222" s="125"/>
      <c r="AF222" s="71"/>
      <c r="AG222" s="71"/>
      <c r="AH222" s="71"/>
      <c r="AI222" s="218"/>
      <c r="AJ222" s="211"/>
      <c r="AK222" s="211"/>
      <c r="AL222" s="211"/>
      <c r="AP222" s="211"/>
      <c r="AQ222" s="211"/>
      <c r="AR222" s="211"/>
      <c r="AT222" s="211"/>
      <c r="AU222"/>
      <c r="AV222"/>
      <c r="AW222" s="211"/>
    </row>
    <row r="223" spans="2:49" x14ac:dyDescent="0.25">
      <c r="B223" s="450"/>
      <c r="C223" s="71"/>
      <c r="D223" s="71"/>
      <c r="E223" s="71"/>
      <c r="F223" s="317"/>
      <c r="G223" s="317"/>
      <c r="H223" s="317"/>
      <c r="I223" s="317"/>
      <c r="J223" s="71"/>
      <c r="K223" s="71"/>
      <c r="L223" s="71"/>
      <c r="M223" s="71"/>
      <c r="O223" s="71"/>
      <c r="P223" s="71"/>
      <c r="Q223" s="71"/>
      <c r="R223" s="71"/>
      <c r="S223" s="71"/>
      <c r="T223" s="71"/>
      <c r="U223" s="71"/>
      <c r="V223" s="71"/>
      <c r="W223" s="71"/>
      <c r="X223" s="125"/>
      <c r="AB223" s="71"/>
      <c r="AC223" s="71"/>
      <c r="AD223" s="71"/>
      <c r="AE223" s="125"/>
      <c r="AF223" s="71"/>
      <c r="AG223" s="71"/>
      <c r="AH223" s="71"/>
      <c r="AI223" s="218"/>
      <c r="AJ223" s="211"/>
      <c r="AK223" s="211"/>
      <c r="AL223" s="211"/>
      <c r="AP223" s="211"/>
      <c r="AQ223" s="211"/>
      <c r="AR223" s="211"/>
      <c r="AT223" s="211"/>
      <c r="AU223"/>
      <c r="AV223"/>
      <c r="AW223" s="211"/>
    </row>
    <row r="224" spans="2:49" x14ac:dyDescent="0.25">
      <c r="B224" s="450"/>
      <c r="C224" s="71"/>
      <c r="D224" s="71"/>
      <c r="E224" s="71"/>
      <c r="F224" s="317"/>
      <c r="G224" s="317"/>
      <c r="H224" s="317"/>
      <c r="I224" s="317"/>
      <c r="J224" s="71"/>
      <c r="K224" s="71"/>
      <c r="L224" s="71"/>
      <c r="M224" s="71"/>
      <c r="O224" s="71"/>
      <c r="P224" s="71"/>
      <c r="Q224" s="71"/>
      <c r="R224" s="71"/>
      <c r="S224" s="71"/>
      <c r="T224" s="71"/>
      <c r="U224" s="71"/>
      <c r="V224" s="71"/>
      <c r="W224" s="71"/>
      <c r="X224" s="125"/>
      <c r="AB224" s="71"/>
      <c r="AC224" s="71"/>
      <c r="AD224" s="71"/>
      <c r="AE224" s="125"/>
      <c r="AF224" s="71"/>
      <c r="AG224" s="71"/>
      <c r="AH224" s="71"/>
      <c r="AI224" s="218"/>
      <c r="AJ224" s="211"/>
      <c r="AK224" s="211"/>
      <c r="AL224" s="211"/>
      <c r="AP224" s="211"/>
      <c r="AQ224" s="211"/>
      <c r="AR224" s="211"/>
      <c r="AT224" s="211"/>
      <c r="AU224"/>
      <c r="AV224"/>
      <c r="AW224" s="211"/>
    </row>
    <row r="225" spans="2:49" x14ac:dyDescent="0.25">
      <c r="B225" s="450"/>
      <c r="C225" s="71"/>
      <c r="D225" s="71"/>
      <c r="E225" s="71"/>
      <c r="F225" s="317"/>
      <c r="G225" s="317"/>
      <c r="H225" s="317"/>
      <c r="I225" s="317"/>
      <c r="J225" s="71"/>
      <c r="K225" s="71"/>
      <c r="L225" s="71"/>
      <c r="M225" s="71"/>
      <c r="O225" s="71"/>
      <c r="P225" s="71"/>
      <c r="Q225" s="71"/>
      <c r="R225" s="71"/>
      <c r="S225" s="71"/>
      <c r="T225" s="71"/>
      <c r="U225" s="71"/>
      <c r="V225" s="71"/>
      <c r="W225" s="71"/>
      <c r="X225" s="125"/>
      <c r="AB225" s="71"/>
      <c r="AC225" s="71"/>
      <c r="AD225" s="71"/>
      <c r="AE225" s="125"/>
      <c r="AF225" s="71"/>
      <c r="AG225" s="71"/>
      <c r="AH225" s="71"/>
      <c r="AI225" s="218"/>
      <c r="AJ225" s="211"/>
      <c r="AK225" s="211"/>
      <c r="AL225" s="211"/>
      <c r="AP225" s="211"/>
      <c r="AQ225" s="211"/>
      <c r="AR225" s="211"/>
      <c r="AT225" s="211"/>
      <c r="AU225"/>
      <c r="AV225"/>
      <c r="AW225" s="211"/>
    </row>
    <row r="226" spans="2:49" x14ac:dyDescent="0.25">
      <c r="B226" s="450"/>
      <c r="C226" s="71"/>
      <c r="D226" s="71"/>
      <c r="E226" s="71"/>
      <c r="F226" s="317"/>
      <c r="G226" s="317"/>
      <c r="H226" s="317"/>
      <c r="I226" s="317"/>
      <c r="J226" s="71"/>
      <c r="K226" s="71"/>
      <c r="L226" s="71"/>
      <c r="M226" s="71"/>
      <c r="O226" s="71"/>
      <c r="P226" s="71"/>
      <c r="Q226" s="71"/>
      <c r="R226" s="71"/>
      <c r="S226" s="71"/>
      <c r="T226" s="71"/>
      <c r="U226" s="71"/>
      <c r="V226" s="71"/>
      <c r="W226" s="71"/>
      <c r="X226" s="125"/>
      <c r="AB226" s="71"/>
      <c r="AC226" s="71"/>
      <c r="AD226" s="71"/>
      <c r="AE226" s="125"/>
      <c r="AF226" s="71"/>
      <c r="AG226" s="71"/>
      <c r="AH226" s="71"/>
      <c r="AI226" s="218"/>
      <c r="AJ226" s="211"/>
      <c r="AK226" s="211"/>
      <c r="AL226" s="211"/>
      <c r="AP226" s="211"/>
      <c r="AQ226" s="211"/>
      <c r="AR226" s="211"/>
      <c r="AT226" s="211"/>
      <c r="AU226"/>
      <c r="AV226"/>
      <c r="AW226" s="211"/>
    </row>
    <row r="227" spans="2:49" x14ac:dyDescent="0.25">
      <c r="B227" s="450"/>
      <c r="C227" s="71"/>
      <c r="D227" s="71"/>
      <c r="E227" s="71"/>
      <c r="F227" s="317"/>
      <c r="G227" s="317"/>
      <c r="H227" s="317"/>
      <c r="I227" s="317"/>
      <c r="J227" s="71"/>
      <c r="K227" s="71"/>
      <c r="L227" s="71"/>
      <c r="M227" s="71"/>
      <c r="O227" s="71"/>
      <c r="P227" s="71"/>
      <c r="Q227" s="71"/>
      <c r="R227" s="71"/>
      <c r="S227" s="71"/>
      <c r="T227" s="71"/>
      <c r="U227" s="71"/>
      <c r="V227" s="71"/>
      <c r="W227" s="71"/>
      <c r="X227" s="125"/>
      <c r="AB227" s="71"/>
      <c r="AC227" s="71"/>
      <c r="AD227" s="71"/>
      <c r="AE227" s="125"/>
      <c r="AF227" s="71"/>
      <c r="AG227" s="71"/>
      <c r="AH227" s="71"/>
      <c r="AI227" s="218"/>
      <c r="AJ227" s="211"/>
      <c r="AK227" s="211"/>
      <c r="AL227" s="211"/>
      <c r="AP227" s="211"/>
      <c r="AQ227" s="211"/>
      <c r="AR227" s="211"/>
      <c r="AT227" s="211"/>
      <c r="AU227"/>
      <c r="AV227"/>
      <c r="AW227" s="211"/>
    </row>
    <row r="228" spans="2:49" x14ac:dyDescent="0.25">
      <c r="B228" s="450"/>
      <c r="C228" s="71"/>
      <c r="D228" s="71"/>
      <c r="E228" s="71"/>
      <c r="F228" s="317"/>
      <c r="G228" s="317"/>
      <c r="H228" s="317"/>
      <c r="I228" s="317"/>
      <c r="J228" s="71"/>
      <c r="K228" s="71"/>
      <c r="L228" s="71"/>
      <c r="M228" s="71"/>
      <c r="O228" s="71"/>
      <c r="P228" s="71"/>
      <c r="Q228" s="71"/>
      <c r="R228" s="71"/>
      <c r="S228" s="71"/>
      <c r="T228" s="71"/>
      <c r="U228" s="71"/>
      <c r="V228" s="71"/>
      <c r="W228" s="71"/>
      <c r="X228" s="125"/>
      <c r="AB228" s="71"/>
      <c r="AC228" s="71"/>
      <c r="AD228" s="71"/>
      <c r="AE228" s="125"/>
      <c r="AF228" s="71"/>
      <c r="AG228" s="71"/>
      <c r="AH228" s="71"/>
      <c r="AI228" s="218"/>
      <c r="AJ228" s="211"/>
      <c r="AK228" s="211"/>
      <c r="AL228" s="211"/>
      <c r="AP228" s="211"/>
      <c r="AQ228" s="211"/>
      <c r="AR228" s="211"/>
      <c r="AT228" s="211"/>
      <c r="AU228"/>
      <c r="AV228"/>
      <c r="AW228" s="211"/>
    </row>
    <row r="229" spans="2:49" x14ac:dyDescent="0.25">
      <c r="B229" s="450"/>
      <c r="C229" s="71"/>
      <c r="D229" s="71"/>
      <c r="E229" s="71"/>
      <c r="F229" s="317"/>
      <c r="G229" s="317"/>
      <c r="H229" s="317"/>
      <c r="I229" s="317"/>
      <c r="J229" s="71"/>
      <c r="K229" s="71"/>
      <c r="L229" s="71"/>
      <c r="M229" s="71"/>
      <c r="O229" s="71"/>
      <c r="P229" s="71"/>
      <c r="Q229" s="71"/>
      <c r="R229" s="71"/>
      <c r="S229" s="71"/>
      <c r="T229" s="71"/>
      <c r="U229" s="71"/>
      <c r="V229" s="71"/>
      <c r="W229" s="71"/>
      <c r="X229" s="125"/>
      <c r="AB229" s="71"/>
      <c r="AC229" s="71"/>
      <c r="AD229" s="71"/>
      <c r="AE229" s="125"/>
      <c r="AF229" s="71"/>
      <c r="AG229" s="71"/>
      <c r="AH229" s="71"/>
      <c r="AI229" s="218"/>
      <c r="AJ229" s="211"/>
      <c r="AK229" s="211"/>
      <c r="AL229" s="211"/>
      <c r="AP229" s="211"/>
      <c r="AQ229" s="211"/>
      <c r="AR229" s="211"/>
      <c r="AT229" s="211"/>
      <c r="AU229"/>
      <c r="AV229"/>
      <c r="AW229" s="211"/>
    </row>
    <row r="230" spans="2:49" x14ac:dyDescent="0.25">
      <c r="B230" s="450"/>
      <c r="C230" s="71"/>
      <c r="D230" s="71"/>
      <c r="E230" s="71"/>
      <c r="F230" s="317"/>
      <c r="G230" s="317"/>
      <c r="H230" s="317"/>
      <c r="I230" s="317"/>
      <c r="J230" s="71"/>
      <c r="K230" s="71"/>
      <c r="L230" s="71"/>
      <c r="M230" s="71"/>
      <c r="O230" s="71"/>
      <c r="P230" s="71"/>
      <c r="Q230" s="71"/>
      <c r="R230" s="71"/>
      <c r="S230" s="71"/>
      <c r="T230" s="71"/>
      <c r="U230" s="71"/>
      <c r="V230" s="71"/>
      <c r="W230" s="71"/>
      <c r="X230" s="125"/>
      <c r="AB230" s="71"/>
      <c r="AC230" s="71"/>
      <c r="AD230" s="71"/>
      <c r="AE230" s="125"/>
      <c r="AF230" s="71"/>
      <c r="AG230" s="71"/>
      <c r="AH230" s="71"/>
      <c r="AI230" s="218"/>
      <c r="AJ230" s="211"/>
      <c r="AK230" s="211"/>
      <c r="AL230" s="211"/>
      <c r="AP230" s="211"/>
      <c r="AQ230" s="211"/>
      <c r="AR230" s="211"/>
      <c r="AT230" s="211"/>
      <c r="AU230"/>
      <c r="AV230"/>
      <c r="AW230" s="211"/>
    </row>
    <row r="231" spans="2:49" x14ac:dyDescent="0.25">
      <c r="B231" s="450"/>
      <c r="C231" s="71"/>
      <c r="D231" s="71"/>
      <c r="E231" s="71"/>
      <c r="F231" s="317"/>
      <c r="G231" s="317"/>
      <c r="H231" s="317"/>
      <c r="I231" s="317"/>
      <c r="J231" s="71"/>
      <c r="K231" s="71"/>
      <c r="L231" s="71"/>
      <c r="M231" s="71"/>
      <c r="O231" s="71"/>
      <c r="P231" s="71"/>
      <c r="Q231" s="71"/>
      <c r="R231" s="71"/>
      <c r="S231" s="71"/>
      <c r="T231" s="71"/>
      <c r="U231" s="71"/>
      <c r="V231" s="71"/>
      <c r="W231" s="71"/>
      <c r="X231" s="125"/>
      <c r="AB231" s="71"/>
      <c r="AC231" s="71"/>
      <c r="AD231" s="71"/>
      <c r="AE231" s="125"/>
      <c r="AF231" s="71"/>
      <c r="AG231" s="71"/>
      <c r="AH231" s="71"/>
      <c r="AI231" s="218"/>
      <c r="AJ231" s="211"/>
      <c r="AK231" s="211"/>
      <c r="AL231" s="211"/>
      <c r="AP231" s="211"/>
      <c r="AQ231" s="211"/>
      <c r="AR231" s="211"/>
      <c r="AT231" s="211"/>
      <c r="AU231"/>
      <c r="AV231"/>
      <c r="AW231" s="211"/>
    </row>
    <row r="232" spans="2:49" x14ac:dyDescent="0.25">
      <c r="B232" s="450"/>
      <c r="C232" s="71"/>
      <c r="D232" s="71"/>
      <c r="E232" s="71"/>
      <c r="F232" s="317"/>
      <c r="G232" s="317"/>
      <c r="H232" s="317"/>
      <c r="I232" s="317"/>
      <c r="J232" s="71"/>
      <c r="K232" s="71"/>
      <c r="L232" s="71"/>
      <c r="M232" s="71"/>
      <c r="O232" s="71"/>
      <c r="P232" s="71"/>
      <c r="Q232" s="71"/>
      <c r="R232" s="71"/>
      <c r="S232" s="71"/>
      <c r="T232" s="71"/>
      <c r="U232" s="71"/>
      <c r="V232" s="71"/>
      <c r="W232" s="71"/>
      <c r="X232" s="125"/>
      <c r="AB232" s="71"/>
      <c r="AC232" s="71"/>
      <c r="AD232" s="71"/>
      <c r="AE232" s="125"/>
      <c r="AF232" s="71"/>
      <c r="AG232" s="71"/>
      <c r="AH232" s="71"/>
      <c r="AI232" s="218"/>
      <c r="AJ232" s="211"/>
      <c r="AK232" s="211"/>
      <c r="AL232" s="211"/>
      <c r="AP232" s="211"/>
      <c r="AQ232" s="211"/>
      <c r="AR232" s="211"/>
      <c r="AT232" s="211"/>
      <c r="AU232"/>
      <c r="AV232"/>
      <c r="AW232" s="211"/>
    </row>
    <row r="233" spans="2:49" x14ac:dyDescent="0.25">
      <c r="B233" s="450"/>
      <c r="C233" s="71"/>
      <c r="D233" s="71"/>
      <c r="E233" s="71"/>
      <c r="F233" s="317"/>
      <c r="G233" s="317"/>
      <c r="H233" s="317"/>
      <c r="I233" s="317"/>
      <c r="J233" s="71"/>
      <c r="K233" s="71"/>
      <c r="L233" s="71"/>
      <c r="M233" s="71"/>
      <c r="O233" s="71"/>
      <c r="P233" s="71"/>
      <c r="Q233" s="71"/>
      <c r="R233" s="71"/>
      <c r="S233" s="71"/>
      <c r="T233" s="71"/>
      <c r="U233" s="71"/>
      <c r="V233" s="71"/>
      <c r="W233" s="71"/>
      <c r="X233" s="125"/>
      <c r="AB233" s="71"/>
      <c r="AC233" s="71"/>
      <c r="AD233" s="71"/>
      <c r="AE233" s="125"/>
      <c r="AF233" s="71"/>
      <c r="AG233" s="71"/>
      <c r="AH233" s="71"/>
      <c r="AI233" s="218"/>
      <c r="AJ233" s="211"/>
      <c r="AK233" s="211"/>
      <c r="AL233" s="211"/>
      <c r="AP233" s="211"/>
      <c r="AQ233" s="211"/>
      <c r="AR233" s="211"/>
      <c r="AT233" s="211"/>
      <c r="AU233"/>
      <c r="AV233"/>
      <c r="AW233" s="211"/>
    </row>
    <row r="234" spans="2:49" x14ac:dyDescent="0.25">
      <c r="B234" s="450"/>
      <c r="C234" s="71"/>
      <c r="D234" s="71"/>
      <c r="E234" s="71"/>
      <c r="F234" s="317"/>
      <c r="G234" s="317"/>
      <c r="H234" s="317"/>
      <c r="I234" s="317"/>
      <c r="J234" s="71"/>
      <c r="K234" s="71"/>
      <c r="L234" s="71"/>
      <c r="M234" s="71"/>
      <c r="O234" s="71"/>
      <c r="P234" s="71"/>
      <c r="Q234" s="71"/>
      <c r="R234" s="71"/>
      <c r="S234" s="71"/>
      <c r="T234" s="71"/>
      <c r="U234" s="71"/>
      <c r="V234" s="71"/>
      <c r="W234" s="71"/>
      <c r="X234" s="125"/>
      <c r="AB234" s="71"/>
      <c r="AC234" s="71"/>
      <c r="AD234" s="71"/>
      <c r="AE234" s="125"/>
      <c r="AF234" s="71"/>
      <c r="AG234" s="71"/>
      <c r="AH234" s="71"/>
      <c r="AI234" s="218"/>
      <c r="AJ234" s="211"/>
      <c r="AK234" s="211"/>
      <c r="AL234" s="211"/>
      <c r="AP234" s="211"/>
      <c r="AQ234" s="211"/>
      <c r="AR234" s="211"/>
      <c r="AT234" s="211"/>
      <c r="AU234"/>
      <c r="AV234"/>
      <c r="AW234" s="211"/>
    </row>
    <row r="235" spans="2:49" x14ac:dyDescent="0.25">
      <c r="B235" s="450"/>
      <c r="C235" s="71"/>
      <c r="D235" s="71"/>
      <c r="E235" s="71"/>
      <c r="F235" s="317"/>
      <c r="G235" s="317"/>
      <c r="H235" s="317"/>
      <c r="I235" s="317"/>
      <c r="J235" s="71"/>
      <c r="K235" s="71"/>
      <c r="L235" s="71"/>
      <c r="M235" s="71"/>
      <c r="O235" s="71"/>
      <c r="P235" s="71"/>
      <c r="Q235" s="71"/>
      <c r="R235" s="71"/>
      <c r="S235" s="71"/>
      <c r="T235" s="71"/>
      <c r="U235" s="71"/>
      <c r="V235" s="71"/>
      <c r="W235" s="71"/>
      <c r="X235" s="125"/>
      <c r="AB235" s="71"/>
      <c r="AC235" s="71"/>
      <c r="AD235" s="71"/>
      <c r="AE235" s="125"/>
      <c r="AF235" s="71"/>
      <c r="AG235" s="71"/>
      <c r="AH235" s="71"/>
      <c r="AI235" s="218"/>
      <c r="AJ235" s="211"/>
      <c r="AK235" s="211"/>
      <c r="AL235" s="211"/>
      <c r="AP235" s="211"/>
      <c r="AQ235" s="211"/>
      <c r="AR235" s="211"/>
      <c r="AT235" s="211"/>
      <c r="AU235"/>
      <c r="AV235"/>
      <c r="AW235" s="211"/>
    </row>
    <row r="236" spans="2:49" x14ac:dyDescent="0.25">
      <c r="B236" s="450"/>
      <c r="C236" s="71"/>
      <c r="D236" s="71"/>
      <c r="E236" s="71"/>
      <c r="F236" s="317"/>
      <c r="G236" s="317"/>
      <c r="H236" s="317"/>
      <c r="I236" s="317"/>
      <c r="J236" s="71"/>
      <c r="K236" s="71"/>
      <c r="L236" s="71"/>
      <c r="M236" s="71"/>
      <c r="O236" s="71"/>
      <c r="P236" s="71"/>
      <c r="Q236" s="71"/>
      <c r="R236" s="71"/>
      <c r="S236" s="71"/>
      <c r="T236" s="71"/>
      <c r="U236" s="71"/>
      <c r="V236" s="71"/>
      <c r="W236" s="71"/>
      <c r="X236" s="125"/>
      <c r="AB236" s="71"/>
      <c r="AC236" s="71"/>
      <c r="AD236" s="71"/>
      <c r="AE236" s="125"/>
      <c r="AF236" s="71"/>
      <c r="AG236" s="71"/>
      <c r="AH236" s="71"/>
      <c r="AI236" s="218"/>
      <c r="AJ236" s="211"/>
      <c r="AK236" s="211"/>
      <c r="AL236" s="211"/>
      <c r="AP236" s="211"/>
      <c r="AQ236" s="211"/>
      <c r="AR236" s="211"/>
      <c r="AT236" s="211"/>
      <c r="AU236"/>
      <c r="AV236"/>
      <c r="AW236" s="211"/>
    </row>
    <row r="237" spans="2:49" x14ac:dyDescent="0.25">
      <c r="B237" s="450"/>
      <c r="C237" s="71"/>
      <c r="D237" s="71"/>
      <c r="E237" s="71"/>
      <c r="F237" s="317"/>
      <c r="G237" s="317"/>
      <c r="H237" s="317"/>
      <c r="I237" s="317"/>
      <c r="J237" s="71"/>
      <c r="K237" s="71"/>
      <c r="L237" s="71"/>
      <c r="M237" s="71"/>
      <c r="O237" s="71"/>
      <c r="P237" s="71"/>
      <c r="Q237" s="71"/>
      <c r="R237" s="71"/>
      <c r="S237" s="71"/>
      <c r="T237" s="71"/>
      <c r="U237" s="71"/>
      <c r="V237" s="71"/>
      <c r="W237" s="71"/>
      <c r="X237" s="125"/>
      <c r="AB237" s="71"/>
      <c r="AC237" s="71"/>
      <c r="AD237" s="71"/>
      <c r="AE237" s="125"/>
      <c r="AF237" s="71"/>
      <c r="AG237" s="71"/>
      <c r="AH237" s="71"/>
      <c r="AI237" s="218"/>
      <c r="AJ237" s="211"/>
      <c r="AK237" s="211"/>
      <c r="AL237" s="211"/>
      <c r="AP237" s="211"/>
      <c r="AQ237" s="211"/>
      <c r="AR237" s="211"/>
      <c r="AT237" s="211"/>
      <c r="AU237"/>
      <c r="AV237"/>
      <c r="AW237" s="211"/>
    </row>
    <row r="238" spans="2:49" x14ac:dyDescent="0.25">
      <c r="B238" s="450"/>
      <c r="C238" s="71"/>
      <c r="D238" s="71"/>
      <c r="E238" s="71"/>
      <c r="F238" s="317"/>
      <c r="G238" s="317"/>
      <c r="H238" s="317"/>
      <c r="I238" s="317"/>
      <c r="J238" s="71"/>
      <c r="K238" s="71"/>
      <c r="L238" s="71"/>
      <c r="M238" s="71"/>
      <c r="O238" s="71"/>
      <c r="P238" s="71"/>
      <c r="Q238" s="71"/>
      <c r="R238" s="71"/>
      <c r="S238" s="71"/>
      <c r="T238" s="71"/>
      <c r="U238" s="71"/>
      <c r="V238" s="71"/>
      <c r="W238" s="71"/>
      <c r="X238" s="125"/>
      <c r="AB238" s="71"/>
      <c r="AC238" s="71"/>
      <c r="AD238" s="71"/>
      <c r="AE238" s="125"/>
      <c r="AF238" s="71"/>
      <c r="AG238" s="71"/>
      <c r="AH238" s="71"/>
      <c r="AI238" s="218"/>
      <c r="AJ238" s="211"/>
      <c r="AK238" s="211"/>
      <c r="AL238" s="211"/>
      <c r="AP238" s="211"/>
      <c r="AQ238" s="211"/>
      <c r="AR238" s="211"/>
      <c r="AT238" s="211"/>
      <c r="AU238"/>
      <c r="AV238"/>
      <c r="AW238" s="211"/>
    </row>
    <row r="239" spans="2:49" x14ac:dyDescent="0.25">
      <c r="B239" s="450"/>
      <c r="C239" s="71"/>
      <c r="D239" s="71"/>
      <c r="E239" s="71"/>
      <c r="F239" s="317"/>
      <c r="G239" s="317"/>
      <c r="H239" s="317"/>
      <c r="I239" s="317"/>
      <c r="J239" s="71"/>
      <c r="K239" s="71"/>
      <c r="L239" s="71"/>
      <c r="M239" s="71"/>
      <c r="O239" s="71"/>
      <c r="P239" s="71"/>
      <c r="Q239" s="71"/>
      <c r="R239" s="71"/>
      <c r="S239" s="71"/>
      <c r="T239" s="71"/>
      <c r="U239" s="71"/>
      <c r="V239" s="71"/>
      <c r="W239" s="71"/>
      <c r="X239" s="125"/>
      <c r="AB239" s="71"/>
      <c r="AC239" s="71"/>
      <c r="AD239" s="71"/>
      <c r="AE239" s="125"/>
      <c r="AF239" s="71"/>
      <c r="AG239" s="71"/>
      <c r="AH239" s="71"/>
      <c r="AI239" s="218"/>
      <c r="AJ239" s="211"/>
      <c r="AK239" s="211"/>
      <c r="AL239" s="211"/>
      <c r="AP239" s="211"/>
      <c r="AQ239" s="211"/>
      <c r="AR239" s="211"/>
      <c r="AT239" s="211"/>
      <c r="AU239"/>
      <c r="AV239"/>
      <c r="AW239" s="211"/>
    </row>
    <row r="240" spans="2:49" x14ac:dyDescent="0.25">
      <c r="B240" s="450"/>
      <c r="C240" s="71"/>
      <c r="D240" s="71"/>
      <c r="E240" s="71"/>
      <c r="F240" s="317"/>
      <c r="G240" s="317"/>
      <c r="H240" s="317"/>
      <c r="I240" s="317"/>
      <c r="J240" s="71"/>
      <c r="K240" s="71"/>
      <c r="L240" s="71"/>
      <c r="M240" s="71"/>
      <c r="O240" s="71"/>
      <c r="P240" s="71"/>
      <c r="Q240" s="71"/>
      <c r="R240" s="71"/>
      <c r="S240" s="71"/>
      <c r="T240" s="71"/>
      <c r="U240" s="71"/>
      <c r="V240" s="71"/>
      <c r="W240" s="71"/>
      <c r="X240" s="125"/>
      <c r="AB240" s="71"/>
      <c r="AC240" s="71"/>
      <c r="AD240" s="71"/>
      <c r="AE240" s="125"/>
      <c r="AF240" s="71"/>
      <c r="AG240" s="71"/>
      <c r="AH240" s="71"/>
      <c r="AI240" s="218"/>
      <c r="AJ240" s="211"/>
      <c r="AK240" s="211"/>
      <c r="AL240" s="211"/>
      <c r="AP240" s="211"/>
      <c r="AQ240" s="211"/>
      <c r="AR240" s="211"/>
      <c r="AT240" s="211"/>
      <c r="AU240"/>
      <c r="AV240"/>
      <c r="AW240" s="211"/>
    </row>
    <row r="241" spans="2:49" x14ac:dyDescent="0.25">
      <c r="B241" s="450"/>
      <c r="C241" s="71"/>
      <c r="D241" s="71"/>
      <c r="E241" s="71"/>
      <c r="F241" s="317"/>
      <c r="G241" s="317"/>
      <c r="H241" s="317"/>
      <c r="I241" s="317"/>
      <c r="J241" s="71"/>
      <c r="K241" s="71"/>
      <c r="L241" s="71"/>
      <c r="M241" s="71"/>
      <c r="O241" s="71"/>
      <c r="P241" s="71"/>
      <c r="Q241" s="71"/>
      <c r="R241" s="71"/>
      <c r="S241" s="71"/>
      <c r="T241" s="71"/>
      <c r="U241" s="71"/>
      <c r="V241" s="71"/>
      <c r="W241" s="71"/>
      <c r="X241" s="125"/>
      <c r="AB241" s="71"/>
      <c r="AC241" s="71"/>
      <c r="AD241" s="71"/>
      <c r="AE241" s="125"/>
      <c r="AF241" s="71"/>
      <c r="AG241" s="71"/>
      <c r="AH241" s="71"/>
      <c r="AI241" s="218"/>
      <c r="AJ241" s="211"/>
      <c r="AK241" s="211"/>
      <c r="AL241" s="211"/>
      <c r="AP241" s="211"/>
      <c r="AQ241" s="211"/>
      <c r="AR241" s="211"/>
      <c r="AT241" s="211"/>
      <c r="AU241"/>
      <c r="AV241"/>
      <c r="AW241" s="211"/>
    </row>
    <row r="242" spans="2:49" x14ac:dyDescent="0.25">
      <c r="B242" s="450"/>
      <c r="C242" s="71"/>
      <c r="D242" s="71"/>
      <c r="E242" s="71"/>
      <c r="F242" s="317"/>
      <c r="G242" s="317"/>
      <c r="H242" s="317"/>
      <c r="I242" s="317"/>
      <c r="J242" s="71"/>
      <c r="K242" s="71"/>
      <c r="L242" s="71"/>
      <c r="M242" s="71"/>
      <c r="O242" s="71"/>
      <c r="P242" s="71"/>
      <c r="Q242" s="71"/>
      <c r="R242" s="71"/>
      <c r="S242" s="71"/>
      <c r="T242" s="71"/>
      <c r="U242" s="71"/>
      <c r="V242" s="71"/>
      <c r="W242" s="71"/>
      <c r="X242" s="125"/>
      <c r="AB242" s="71"/>
      <c r="AC242" s="71"/>
      <c r="AD242" s="71"/>
      <c r="AE242" s="125"/>
      <c r="AF242" s="71"/>
      <c r="AG242" s="71"/>
      <c r="AH242" s="71"/>
      <c r="AI242" s="218"/>
      <c r="AJ242" s="211"/>
      <c r="AK242" s="211"/>
      <c r="AL242" s="211"/>
      <c r="AP242" s="211"/>
      <c r="AQ242" s="211"/>
      <c r="AR242" s="211"/>
      <c r="AT242" s="211"/>
      <c r="AU242"/>
      <c r="AV242"/>
      <c r="AW242" s="211"/>
    </row>
    <row r="243" spans="2:49" x14ac:dyDescent="0.25">
      <c r="B243" s="450"/>
      <c r="C243" s="71"/>
      <c r="D243" s="71"/>
      <c r="E243" s="71"/>
      <c r="F243" s="317"/>
      <c r="G243" s="317"/>
      <c r="H243" s="317"/>
      <c r="I243" s="317"/>
      <c r="J243" s="71"/>
      <c r="K243" s="71"/>
      <c r="L243" s="71"/>
      <c r="M243" s="71"/>
      <c r="O243" s="71"/>
      <c r="P243" s="71"/>
      <c r="Q243" s="71"/>
      <c r="R243" s="71"/>
      <c r="S243" s="71"/>
      <c r="T243" s="71"/>
      <c r="U243" s="71"/>
      <c r="V243" s="71"/>
      <c r="W243" s="71"/>
      <c r="X243" s="125"/>
      <c r="AB243" s="71"/>
      <c r="AC243" s="71"/>
      <c r="AD243" s="71"/>
      <c r="AE243" s="125"/>
      <c r="AF243" s="71"/>
      <c r="AG243" s="71"/>
      <c r="AH243" s="71"/>
      <c r="AI243" s="218"/>
      <c r="AJ243" s="211"/>
      <c r="AK243" s="211"/>
      <c r="AL243" s="211"/>
      <c r="AP243" s="211"/>
      <c r="AQ243" s="211"/>
      <c r="AR243" s="211"/>
      <c r="AT243" s="211"/>
      <c r="AU243"/>
      <c r="AV243"/>
      <c r="AW243" s="211"/>
    </row>
    <row r="244" spans="2:49" x14ac:dyDescent="0.25">
      <c r="B244" s="450"/>
      <c r="C244" s="71"/>
      <c r="D244" s="71"/>
      <c r="E244" s="71"/>
      <c r="F244" s="317"/>
      <c r="G244" s="317"/>
      <c r="H244" s="317"/>
      <c r="I244" s="317"/>
      <c r="J244" s="71"/>
      <c r="K244" s="71"/>
      <c r="L244" s="71"/>
      <c r="M244" s="71"/>
      <c r="O244" s="71"/>
      <c r="P244" s="71"/>
      <c r="Q244" s="71"/>
      <c r="R244" s="71"/>
      <c r="S244" s="71"/>
      <c r="T244" s="71"/>
      <c r="U244" s="71"/>
      <c r="V244" s="71"/>
      <c r="W244" s="71"/>
      <c r="X244" s="125"/>
      <c r="AB244" s="71"/>
      <c r="AC244" s="71"/>
      <c r="AD244" s="71"/>
      <c r="AE244" s="125"/>
      <c r="AF244" s="71"/>
      <c r="AG244" s="71"/>
      <c r="AH244" s="71"/>
      <c r="AI244" s="218"/>
      <c r="AJ244" s="211"/>
      <c r="AK244" s="211"/>
      <c r="AL244" s="211"/>
      <c r="AP244" s="211"/>
      <c r="AQ244" s="211"/>
      <c r="AR244" s="211"/>
      <c r="AT244" s="211"/>
      <c r="AU244"/>
      <c r="AV244"/>
      <c r="AW244" s="211"/>
    </row>
    <row r="245" spans="2:49" x14ac:dyDescent="0.25">
      <c r="B245" s="450"/>
      <c r="C245" s="71"/>
      <c r="D245" s="71"/>
      <c r="E245" s="71"/>
      <c r="F245" s="317"/>
      <c r="G245" s="317"/>
      <c r="H245" s="317"/>
      <c r="I245" s="317"/>
      <c r="J245" s="71"/>
      <c r="K245" s="71"/>
      <c r="L245" s="71"/>
      <c r="M245" s="71"/>
      <c r="O245" s="71"/>
      <c r="P245" s="71"/>
      <c r="Q245" s="71"/>
      <c r="R245" s="71"/>
      <c r="S245" s="71"/>
      <c r="T245" s="71"/>
      <c r="U245" s="71"/>
      <c r="V245" s="71"/>
      <c r="W245" s="71"/>
      <c r="X245" s="125"/>
      <c r="AB245" s="71"/>
      <c r="AC245" s="71"/>
      <c r="AD245" s="71"/>
      <c r="AE245" s="125"/>
      <c r="AF245" s="71"/>
      <c r="AG245" s="71"/>
      <c r="AH245" s="71"/>
      <c r="AI245" s="218"/>
      <c r="AJ245" s="211"/>
      <c r="AK245" s="211"/>
      <c r="AL245" s="211"/>
      <c r="AP245" s="211"/>
      <c r="AQ245" s="211"/>
      <c r="AR245" s="211"/>
      <c r="AT245" s="211"/>
      <c r="AU245"/>
      <c r="AV245"/>
      <c r="AW245" s="211"/>
    </row>
    <row r="246" spans="2:49" x14ac:dyDescent="0.25">
      <c r="B246" s="450"/>
      <c r="C246" s="71"/>
      <c r="D246" s="71"/>
      <c r="E246" s="71"/>
      <c r="F246" s="317"/>
      <c r="G246" s="317"/>
      <c r="H246" s="317"/>
      <c r="I246" s="317"/>
      <c r="J246" s="71"/>
      <c r="K246" s="71"/>
      <c r="L246" s="71"/>
      <c r="M246" s="71"/>
      <c r="O246" s="71"/>
      <c r="P246" s="71"/>
      <c r="Q246" s="71"/>
      <c r="R246" s="71"/>
      <c r="S246" s="71"/>
      <c r="T246" s="71"/>
      <c r="U246" s="71"/>
      <c r="V246" s="71"/>
      <c r="W246" s="71"/>
      <c r="X246" s="125"/>
      <c r="AB246" s="71"/>
      <c r="AC246" s="71"/>
      <c r="AD246" s="71"/>
      <c r="AE246" s="125"/>
      <c r="AF246" s="71"/>
      <c r="AG246" s="71"/>
      <c r="AH246" s="71"/>
      <c r="AI246" s="218"/>
      <c r="AJ246" s="211"/>
      <c r="AK246" s="211"/>
      <c r="AL246" s="211"/>
      <c r="AP246" s="211"/>
      <c r="AQ246" s="211"/>
      <c r="AR246" s="211"/>
      <c r="AT246" s="211"/>
      <c r="AU246"/>
      <c r="AV246"/>
      <c r="AW246" s="211"/>
    </row>
    <row r="247" spans="2:49" x14ac:dyDescent="0.25">
      <c r="B247" s="450"/>
      <c r="C247" s="71"/>
      <c r="D247" s="71"/>
      <c r="E247" s="71"/>
      <c r="F247" s="317"/>
      <c r="G247" s="317"/>
      <c r="H247" s="317"/>
      <c r="I247" s="317"/>
      <c r="J247" s="71"/>
      <c r="K247" s="71"/>
      <c r="L247" s="71"/>
      <c r="M247" s="71"/>
      <c r="O247" s="71"/>
      <c r="P247" s="71"/>
      <c r="Q247" s="71"/>
      <c r="R247" s="71"/>
      <c r="S247" s="71"/>
      <c r="T247" s="71"/>
      <c r="U247" s="71"/>
      <c r="V247" s="71"/>
      <c r="W247" s="71"/>
      <c r="X247" s="125"/>
      <c r="AB247" s="71"/>
      <c r="AC247" s="71"/>
      <c r="AD247" s="71"/>
      <c r="AE247" s="125"/>
      <c r="AF247" s="71"/>
      <c r="AG247" s="71"/>
      <c r="AH247" s="71"/>
      <c r="AI247" s="218"/>
      <c r="AJ247" s="211"/>
      <c r="AK247" s="211"/>
      <c r="AL247" s="211"/>
      <c r="AP247" s="211"/>
      <c r="AQ247" s="211"/>
      <c r="AR247" s="211"/>
      <c r="AT247" s="211"/>
      <c r="AU247"/>
      <c r="AV247"/>
      <c r="AW247" s="211"/>
    </row>
    <row r="248" spans="2:49" x14ac:dyDescent="0.25">
      <c r="B248" s="450"/>
      <c r="C248" s="71"/>
      <c r="D248" s="71"/>
      <c r="E248" s="71"/>
      <c r="F248" s="317"/>
      <c r="G248" s="317"/>
      <c r="H248" s="317"/>
      <c r="I248" s="317"/>
      <c r="J248" s="71"/>
      <c r="K248" s="71"/>
      <c r="L248" s="71"/>
      <c r="M248" s="71"/>
      <c r="O248" s="71"/>
      <c r="P248" s="71"/>
      <c r="Q248" s="71"/>
      <c r="R248" s="71"/>
      <c r="S248" s="71"/>
      <c r="T248" s="71"/>
      <c r="U248" s="71"/>
      <c r="V248" s="71"/>
      <c r="W248" s="71"/>
      <c r="X248" s="125"/>
      <c r="AB248" s="71"/>
      <c r="AC248" s="71"/>
      <c r="AD248" s="71"/>
      <c r="AE248" s="125"/>
      <c r="AF248" s="71"/>
      <c r="AG248" s="71"/>
      <c r="AH248" s="71"/>
      <c r="AI248" s="218"/>
      <c r="AJ248" s="211"/>
      <c r="AK248" s="211"/>
      <c r="AL248" s="211"/>
      <c r="AP248" s="211"/>
      <c r="AQ248" s="211"/>
      <c r="AR248" s="211"/>
      <c r="AT248" s="211"/>
      <c r="AU248"/>
      <c r="AV248"/>
      <c r="AW248" s="211"/>
    </row>
    <row r="249" spans="2:49" x14ac:dyDescent="0.25">
      <c r="B249" s="450"/>
      <c r="C249" s="71"/>
      <c r="D249" s="71"/>
      <c r="E249" s="71"/>
      <c r="F249" s="317"/>
      <c r="G249" s="317"/>
      <c r="H249" s="317"/>
      <c r="I249" s="317"/>
      <c r="J249" s="71"/>
      <c r="K249" s="71"/>
      <c r="L249" s="71"/>
      <c r="M249" s="71"/>
      <c r="O249" s="71"/>
      <c r="P249" s="71"/>
      <c r="Q249" s="71"/>
      <c r="R249" s="71"/>
      <c r="S249" s="71"/>
      <c r="T249" s="71"/>
      <c r="U249" s="71"/>
      <c r="V249" s="71"/>
      <c r="W249" s="71"/>
      <c r="X249" s="125"/>
      <c r="AB249" s="71"/>
      <c r="AC249" s="71"/>
      <c r="AD249" s="71"/>
      <c r="AE249" s="125"/>
      <c r="AF249" s="71"/>
      <c r="AG249" s="71"/>
      <c r="AH249" s="71"/>
      <c r="AI249" s="218"/>
      <c r="AJ249" s="211"/>
      <c r="AK249" s="211"/>
      <c r="AL249" s="211"/>
      <c r="AP249" s="211"/>
      <c r="AQ249" s="211"/>
      <c r="AR249" s="211"/>
      <c r="AT249" s="211"/>
      <c r="AU249"/>
      <c r="AV249"/>
      <c r="AW249" s="211"/>
    </row>
    <row r="250" spans="2:49" x14ac:dyDescent="0.25">
      <c r="B250" s="450"/>
      <c r="C250" s="71"/>
      <c r="D250" s="71"/>
      <c r="E250" s="71"/>
      <c r="F250" s="317"/>
      <c r="G250" s="317"/>
      <c r="H250" s="317"/>
      <c r="I250" s="317"/>
      <c r="J250" s="71"/>
      <c r="K250" s="71"/>
      <c r="L250" s="71"/>
      <c r="M250" s="71"/>
      <c r="O250" s="71"/>
      <c r="P250" s="71"/>
      <c r="Q250" s="71"/>
      <c r="R250" s="71"/>
      <c r="S250" s="71"/>
      <c r="T250" s="71"/>
      <c r="U250" s="71"/>
      <c r="V250" s="71"/>
      <c r="W250" s="71"/>
      <c r="X250" s="125"/>
      <c r="AB250" s="71"/>
      <c r="AC250" s="71"/>
      <c r="AD250" s="71"/>
      <c r="AE250" s="125"/>
      <c r="AF250" s="71"/>
      <c r="AG250" s="71"/>
      <c r="AH250" s="71"/>
      <c r="AI250" s="218"/>
      <c r="AJ250" s="211"/>
      <c r="AK250" s="211"/>
      <c r="AL250" s="211"/>
      <c r="AP250" s="211"/>
      <c r="AQ250" s="211"/>
      <c r="AR250" s="211"/>
      <c r="AT250" s="211"/>
      <c r="AU250"/>
      <c r="AV250"/>
      <c r="AW250" s="211"/>
    </row>
    <row r="251" spans="2:49" x14ac:dyDescent="0.25">
      <c r="B251" s="450"/>
      <c r="C251" s="71"/>
      <c r="D251" s="71"/>
      <c r="E251" s="71"/>
      <c r="F251" s="317"/>
      <c r="G251" s="317"/>
      <c r="H251" s="317"/>
      <c r="I251" s="317"/>
      <c r="J251" s="71"/>
      <c r="K251" s="71"/>
      <c r="L251" s="71"/>
      <c r="M251" s="71"/>
      <c r="O251" s="71"/>
      <c r="P251" s="71"/>
      <c r="Q251" s="71"/>
      <c r="R251" s="71"/>
      <c r="S251" s="71"/>
      <c r="T251" s="71"/>
      <c r="U251" s="71"/>
      <c r="V251" s="71"/>
      <c r="W251" s="71"/>
      <c r="X251" s="125"/>
      <c r="AB251" s="71"/>
      <c r="AC251" s="71"/>
      <c r="AD251" s="71"/>
      <c r="AE251" s="125"/>
      <c r="AF251" s="71"/>
      <c r="AG251" s="71"/>
      <c r="AH251" s="71"/>
      <c r="AI251" s="218"/>
      <c r="AJ251" s="211"/>
      <c r="AK251" s="211"/>
      <c r="AL251" s="211"/>
      <c r="AP251" s="211"/>
      <c r="AQ251" s="211"/>
      <c r="AR251" s="211"/>
      <c r="AT251" s="211"/>
      <c r="AU251"/>
      <c r="AV251"/>
      <c r="AW251" s="211"/>
    </row>
    <row r="252" spans="2:49" x14ac:dyDescent="0.25">
      <c r="B252" s="450"/>
      <c r="C252" s="71"/>
      <c r="D252" s="71"/>
      <c r="E252" s="71"/>
      <c r="F252" s="317"/>
      <c r="G252" s="317"/>
      <c r="H252" s="317"/>
      <c r="I252" s="317"/>
      <c r="J252" s="71"/>
      <c r="K252" s="71"/>
      <c r="L252" s="71"/>
      <c r="M252" s="71"/>
      <c r="O252" s="71"/>
      <c r="P252" s="71"/>
      <c r="Q252" s="71"/>
      <c r="R252" s="71"/>
      <c r="S252" s="71"/>
      <c r="T252" s="71"/>
      <c r="U252" s="71"/>
      <c r="V252" s="71"/>
      <c r="W252" s="71"/>
      <c r="X252" s="125"/>
      <c r="AB252" s="71"/>
      <c r="AC252" s="71"/>
      <c r="AD252" s="71"/>
      <c r="AE252" s="125"/>
      <c r="AF252" s="71"/>
      <c r="AG252" s="71"/>
      <c r="AH252" s="71"/>
      <c r="AI252" s="218"/>
      <c r="AJ252" s="211"/>
      <c r="AK252" s="211"/>
      <c r="AL252" s="211"/>
      <c r="AP252" s="211"/>
      <c r="AQ252" s="211"/>
      <c r="AR252" s="211"/>
      <c r="AT252" s="211"/>
      <c r="AU252"/>
      <c r="AV252"/>
      <c r="AW252" s="211"/>
    </row>
    <row r="253" spans="2:49" x14ac:dyDescent="0.25">
      <c r="B253" s="450"/>
      <c r="C253" s="71"/>
      <c r="D253" s="71"/>
      <c r="E253" s="71"/>
      <c r="F253" s="317"/>
      <c r="G253" s="317"/>
      <c r="H253" s="317"/>
      <c r="I253" s="317"/>
      <c r="J253" s="71"/>
      <c r="K253" s="71"/>
      <c r="L253" s="71"/>
      <c r="M253" s="71"/>
      <c r="O253" s="71"/>
      <c r="P253" s="71"/>
      <c r="Q253" s="71"/>
      <c r="R253" s="71"/>
      <c r="S253" s="71"/>
      <c r="T253" s="71"/>
      <c r="U253" s="71"/>
      <c r="V253" s="71"/>
      <c r="W253" s="71"/>
      <c r="X253" s="125"/>
      <c r="AB253" s="71"/>
      <c r="AC253" s="71"/>
      <c r="AD253" s="71"/>
      <c r="AE253" s="125"/>
      <c r="AF253" s="71"/>
      <c r="AG253" s="71"/>
      <c r="AH253" s="71"/>
      <c r="AI253" s="218"/>
      <c r="AJ253" s="211"/>
      <c r="AK253" s="211"/>
      <c r="AL253" s="211"/>
      <c r="AP253" s="211"/>
      <c r="AQ253" s="211"/>
      <c r="AR253" s="211"/>
      <c r="AT253" s="211"/>
      <c r="AU253"/>
      <c r="AV253"/>
      <c r="AW253" s="211"/>
    </row>
    <row r="254" spans="2:49" x14ac:dyDescent="0.25">
      <c r="B254" s="450"/>
      <c r="C254" s="71"/>
      <c r="D254" s="71"/>
      <c r="E254" s="71"/>
      <c r="F254" s="317"/>
      <c r="G254" s="317"/>
      <c r="H254" s="317"/>
      <c r="I254" s="317"/>
      <c r="J254" s="71"/>
      <c r="K254" s="71"/>
      <c r="L254" s="71"/>
      <c r="M254" s="71"/>
      <c r="O254" s="71"/>
      <c r="P254" s="71"/>
      <c r="Q254" s="71"/>
      <c r="R254" s="71"/>
      <c r="S254" s="71"/>
      <c r="T254" s="71"/>
      <c r="U254" s="71"/>
      <c r="V254" s="71"/>
      <c r="W254" s="71"/>
      <c r="X254" s="125"/>
      <c r="AB254" s="71"/>
      <c r="AC254" s="71"/>
      <c r="AD254" s="71"/>
      <c r="AE254" s="125"/>
      <c r="AF254" s="71"/>
      <c r="AG254" s="71"/>
      <c r="AH254" s="71"/>
      <c r="AI254" s="218"/>
      <c r="AJ254" s="211"/>
      <c r="AK254" s="211"/>
      <c r="AL254" s="211"/>
      <c r="AP254" s="211"/>
      <c r="AQ254" s="211"/>
      <c r="AR254" s="211"/>
      <c r="AT254" s="211"/>
      <c r="AU254"/>
      <c r="AV254"/>
      <c r="AW254" s="211"/>
    </row>
    <row r="255" spans="2:49" x14ac:dyDescent="0.25">
      <c r="B255" s="450"/>
      <c r="C255" s="71"/>
      <c r="D255" s="71"/>
      <c r="E255" s="71"/>
      <c r="F255" s="317"/>
      <c r="G255" s="317"/>
      <c r="H255" s="317"/>
      <c r="I255" s="317"/>
      <c r="J255" s="71"/>
      <c r="K255" s="71"/>
      <c r="L255" s="71"/>
      <c r="M255" s="71"/>
      <c r="O255" s="71"/>
      <c r="P255" s="71"/>
      <c r="Q255" s="71"/>
      <c r="R255" s="71"/>
      <c r="S255" s="71"/>
      <c r="T255" s="71"/>
      <c r="U255" s="71"/>
      <c r="V255" s="71"/>
      <c r="W255" s="71"/>
      <c r="X255" s="125"/>
      <c r="AB255" s="71"/>
      <c r="AC255" s="71"/>
      <c r="AD255" s="71"/>
      <c r="AE255" s="125"/>
      <c r="AF255" s="71"/>
      <c r="AG255" s="71"/>
      <c r="AH255" s="71"/>
      <c r="AI255" s="218"/>
      <c r="AJ255" s="211"/>
      <c r="AK255" s="211"/>
      <c r="AL255" s="211"/>
      <c r="AP255" s="211"/>
      <c r="AQ255" s="211"/>
      <c r="AR255" s="211"/>
      <c r="AT255" s="211"/>
      <c r="AU255"/>
      <c r="AV255"/>
      <c r="AW255" s="211"/>
    </row>
    <row r="256" spans="2:49" x14ac:dyDescent="0.25">
      <c r="B256" s="450"/>
      <c r="C256" s="71"/>
      <c r="D256" s="71"/>
      <c r="E256" s="71"/>
      <c r="F256" s="317"/>
      <c r="G256" s="317"/>
      <c r="H256" s="317"/>
      <c r="I256" s="317"/>
      <c r="J256" s="71"/>
      <c r="K256" s="71"/>
      <c r="L256" s="71"/>
      <c r="M256" s="71"/>
      <c r="O256" s="71"/>
      <c r="P256" s="71"/>
      <c r="Q256" s="71"/>
      <c r="R256" s="71"/>
      <c r="S256" s="71"/>
      <c r="T256" s="71"/>
      <c r="U256" s="71"/>
      <c r="V256" s="71"/>
      <c r="W256" s="71"/>
      <c r="X256" s="125"/>
      <c r="AB256" s="71"/>
      <c r="AC256" s="71"/>
      <c r="AD256" s="71"/>
      <c r="AE256" s="125"/>
      <c r="AF256" s="71"/>
      <c r="AG256" s="71"/>
      <c r="AH256" s="71"/>
      <c r="AI256" s="218"/>
      <c r="AJ256" s="211"/>
      <c r="AK256" s="211"/>
      <c r="AL256" s="211"/>
      <c r="AP256" s="211"/>
      <c r="AQ256" s="211"/>
      <c r="AR256" s="211"/>
      <c r="AT256" s="211"/>
      <c r="AU256"/>
      <c r="AV256"/>
      <c r="AW256" s="211"/>
    </row>
    <row r="257" spans="2:49" x14ac:dyDescent="0.25">
      <c r="B257" s="450"/>
      <c r="C257" s="71"/>
      <c r="D257" s="71"/>
      <c r="E257" s="71"/>
      <c r="F257" s="317"/>
      <c r="G257" s="317"/>
      <c r="H257" s="317"/>
      <c r="I257" s="317"/>
      <c r="J257" s="71"/>
      <c r="K257" s="71"/>
      <c r="L257" s="71"/>
      <c r="M257" s="71"/>
      <c r="O257" s="71"/>
      <c r="P257" s="71"/>
      <c r="Q257" s="71"/>
      <c r="R257" s="71"/>
      <c r="S257" s="71"/>
      <c r="T257" s="71"/>
      <c r="U257" s="71"/>
      <c r="V257" s="71"/>
      <c r="W257" s="71"/>
      <c r="X257" s="125"/>
      <c r="AB257" s="71"/>
      <c r="AC257" s="71"/>
      <c r="AD257" s="71"/>
      <c r="AE257" s="125"/>
      <c r="AF257" s="71"/>
      <c r="AG257" s="71"/>
      <c r="AH257" s="71"/>
      <c r="AI257" s="218"/>
      <c r="AJ257" s="211"/>
      <c r="AK257" s="211"/>
      <c r="AL257" s="211"/>
      <c r="AP257" s="211"/>
      <c r="AQ257" s="211"/>
      <c r="AR257" s="211"/>
      <c r="AT257" s="211"/>
      <c r="AU257"/>
      <c r="AV257"/>
      <c r="AW257" s="211"/>
    </row>
    <row r="258" spans="2:49" x14ac:dyDescent="0.25">
      <c r="B258" s="450"/>
      <c r="C258" s="71"/>
      <c r="D258" s="71"/>
      <c r="E258" s="71"/>
      <c r="F258" s="317"/>
      <c r="G258" s="317"/>
      <c r="H258" s="317"/>
      <c r="I258" s="317"/>
      <c r="J258" s="71"/>
      <c r="K258" s="71"/>
      <c r="L258" s="71"/>
      <c r="M258" s="71"/>
      <c r="O258" s="71"/>
      <c r="P258" s="71"/>
      <c r="Q258" s="71"/>
      <c r="R258" s="71"/>
      <c r="S258" s="71"/>
      <c r="T258" s="71"/>
      <c r="U258" s="71"/>
      <c r="V258" s="71"/>
      <c r="W258" s="71"/>
      <c r="X258" s="125"/>
      <c r="AB258" s="71"/>
      <c r="AC258" s="71"/>
      <c r="AD258" s="71"/>
      <c r="AE258" s="125"/>
      <c r="AF258" s="71"/>
      <c r="AG258" s="71"/>
      <c r="AH258" s="71"/>
      <c r="AI258" s="218"/>
      <c r="AJ258" s="211"/>
      <c r="AK258" s="211"/>
      <c r="AL258" s="211"/>
      <c r="AP258" s="211"/>
      <c r="AQ258" s="211"/>
      <c r="AR258" s="211"/>
      <c r="AT258" s="211"/>
      <c r="AU258"/>
      <c r="AV258"/>
      <c r="AW258" s="211"/>
    </row>
    <row r="259" spans="2:49" x14ac:dyDescent="0.25">
      <c r="B259" s="450"/>
      <c r="C259" s="71"/>
      <c r="D259" s="71"/>
      <c r="E259" s="71"/>
      <c r="F259" s="317"/>
      <c r="G259" s="317"/>
      <c r="H259" s="317"/>
      <c r="I259" s="317"/>
      <c r="J259" s="71"/>
      <c r="K259" s="71"/>
      <c r="L259" s="71"/>
      <c r="M259" s="71"/>
      <c r="O259" s="71"/>
      <c r="P259" s="71"/>
      <c r="Q259" s="71"/>
      <c r="R259" s="71"/>
      <c r="S259" s="71"/>
      <c r="T259" s="71"/>
      <c r="U259" s="71"/>
      <c r="V259" s="71"/>
      <c r="W259" s="71"/>
      <c r="X259" s="125"/>
      <c r="AB259" s="71"/>
      <c r="AC259" s="71"/>
      <c r="AD259" s="71"/>
      <c r="AE259" s="125"/>
      <c r="AF259" s="71"/>
      <c r="AG259" s="71"/>
      <c r="AH259" s="71"/>
      <c r="AI259" s="218"/>
      <c r="AJ259" s="211"/>
      <c r="AK259" s="211"/>
      <c r="AL259" s="211"/>
      <c r="AP259" s="211"/>
      <c r="AQ259" s="211"/>
      <c r="AR259" s="211"/>
      <c r="AT259" s="211"/>
      <c r="AU259"/>
      <c r="AV259"/>
      <c r="AW259" s="211"/>
    </row>
    <row r="260" spans="2:49" x14ac:dyDescent="0.25">
      <c r="B260" s="450"/>
      <c r="C260" s="71"/>
      <c r="D260" s="71"/>
      <c r="E260" s="71"/>
      <c r="F260" s="317"/>
      <c r="G260" s="317"/>
      <c r="H260" s="317"/>
      <c r="I260" s="317"/>
      <c r="J260" s="71"/>
      <c r="K260" s="71"/>
      <c r="L260" s="71"/>
      <c r="M260" s="71"/>
      <c r="O260" s="71"/>
      <c r="P260" s="71"/>
      <c r="Q260" s="71"/>
      <c r="R260" s="71"/>
      <c r="S260" s="71"/>
      <c r="T260" s="71"/>
      <c r="U260" s="71"/>
      <c r="V260" s="71"/>
      <c r="W260" s="71"/>
      <c r="X260" s="125"/>
      <c r="AB260" s="71"/>
      <c r="AC260" s="71"/>
      <c r="AD260" s="71"/>
      <c r="AE260" s="125"/>
      <c r="AF260" s="71"/>
      <c r="AG260" s="71"/>
      <c r="AH260" s="71"/>
      <c r="AI260" s="218"/>
      <c r="AJ260" s="211"/>
      <c r="AK260" s="211"/>
      <c r="AL260" s="211"/>
      <c r="AP260" s="211"/>
      <c r="AQ260" s="211"/>
      <c r="AR260" s="211"/>
      <c r="AT260" s="211"/>
      <c r="AU260"/>
      <c r="AV260"/>
      <c r="AW260" s="211"/>
    </row>
    <row r="261" spans="2:49" x14ac:dyDescent="0.25">
      <c r="B261" s="450"/>
      <c r="C261" s="71"/>
      <c r="D261" s="71"/>
      <c r="E261" s="71"/>
      <c r="F261" s="317"/>
      <c r="G261" s="317"/>
      <c r="H261" s="317"/>
      <c r="I261" s="317"/>
      <c r="J261" s="71"/>
      <c r="K261" s="71"/>
      <c r="L261" s="71"/>
      <c r="M261" s="71"/>
      <c r="O261" s="71"/>
      <c r="P261" s="71"/>
      <c r="Q261" s="71"/>
      <c r="R261" s="71"/>
      <c r="S261" s="71"/>
      <c r="T261" s="71"/>
      <c r="U261" s="71"/>
      <c r="V261" s="71"/>
      <c r="W261" s="71"/>
      <c r="X261" s="125"/>
      <c r="AB261" s="71"/>
      <c r="AC261" s="71"/>
      <c r="AD261" s="71"/>
      <c r="AE261" s="125"/>
      <c r="AF261" s="71"/>
      <c r="AG261" s="71"/>
      <c r="AH261" s="71"/>
      <c r="AI261" s="218"/>
      <c r="AJ261" s="211"/>
      <c r="AK261" s="211"/>
      <c r="AL261" s="211"/>
      <c r="AP261" s="211"/>
      <c r="AQ261" s="211"/>
      <c r="AR261" s="211"/>
      <c r="AT261" s="211"/>
      <c r="AU261"/>
      <c r="AV261"/>
      <c r="AW261" s="211"/>
    </row>
    <row r="262" spans="2:49" x14ac:dyDescent="0.25">
      <c r="B262" s="450"/>
      <c r="C262" s="71"/>
      <c r="D262" s="71"/>
      <c r="E262" s="71"/>
      <c r="F262" s="317"/>
      <c r="G262" s="317"/>
      <c r="H262" s="317"/>
      <c r="I262" s="317"/>
      <c r="J262" s="71"/>
      <c r="K262" s="71"/>
      <c r="L262" s="71"/>
      <c r="M262" s="71"/>
      <c r="O262" s="71"/>
      <c r="P262" s="71"/>
      <c r="Q262" s="71"/>
      <c r="R262" s="71"/>
      <c r="S262" s="71"/>
      <c r="T262" s="71"/>
      <c r="U262" s="71"/>
      <c r="V262" s="71"/>
      <c r="W262" s="71"/>
      <c r="X262" s="125"/>
      <c r="AB262" s="71"/>
      <c r="AC262" s="71"/>
      <c r="AD262" s="71"/>
      <c r="AE262" s="125"/>
      <c r="AF262" s="71"/>
      <c r="AG262" s="71"/>
      <c r="AH262" s="71"/>
      <c r="AI262" s="218"/>
      <c r="AJ262" s="211"/>
      <c r="AK262" s="211"/>
      <c r="AL262" s="211"/>
      <c r="AP262" s="211"/>
      <c r="AQ262" s="211"/>
      <c r="AR262" s="211"/>
      <c r="AT262" s="211"/>
      <c r="AU262"/>
      <c r="AV262"/>
      <c r="AW262" s="211"/>
    </row>
    <row r="263" spans="2:49" x14ac:dyDescent="0.25">
      <c r="B263" s="450"/>
      <c r="C263" s="71"/>
      <c r="D263" s="71"/>
      <c r="E263" s="71"/>
      <c r="F263" s="317"/>
      <c r="G263" s="317"/>
      <c r="H263" s="317"/>
      <c r="I263" s="317"/>
      <c r="J263" s="71"/>
      <c r="K263" s="71"/>
      <c r="L263" s="71"/>
      <c r="M263" s="71"/>
      <c r="O263" s="71"/>
      <c r="P263" s="71"/>
      <c r="Q263" s="71"/>
      <c r="R263" s="71"/>
      <c r="S263" s="71"/>
      <c r="T263" s="71"/>
      <c r="U263" s="71"/>
      <c r="V263" s="71"/>
      <c r="W263" s="71"/>
      <c r="X263" s="125"/>
      <c r="AB263" s="71"/>
      <c r="AC263" s="71"/>
      <c r="AD263" s="71"/>
      <c r="AE263" s="125"/>
      <c r="AF263" s="71"/>
      <c r="AG263" s="71"/>
      <c r="AH263" s="71"/>
      <c r="AI263" s="218"/>
      <c r="AJ263" s="211"/>
      <c r="AK263" s="211"/>
      <c r="AL263" s="211"/>
      <c r="AP263" s="211"/>
      <c r="AQ263" s="211"/>
      <c r="AR263" s="211"/>
      <c r="AT263" s="211"/>
      <c r="AU263"/>
      <c r="AV263"/>
      <c r="AW263" s="211"/>
    </row>
    <row r="264" spans="2:49" x14ac:dyDescent="0.25">
      <c r="B264" s="450"/>
      <c r="C264" s="71"/>
      <c r="D264" s="71"/>
      <c r="E264" s="71"/>
      <c r="F264" s="317"/>
      <c r="G264" s="317"/>
      <c r="H264" s="317"/>
      <c r="I264" s="317"/>
      <c r="J264" s="71"/>
      <c r="K264" s="71"/>
      <c r="L264" s="71"/>
      <c r="M264" s="71"/>
      <c r="O264" s="71"/>
      <c r="P264" s="71"/>
      <c r="Q264" s="71"/>
      <c r="R264" s="71"/>
      <c r="S264" s="71"/>
      <c r="T264" s="71"/>
      <c r="U264" s="71"/>
      <c r="V264" s="71"/>
      <c r="W264" s="71"/>
      <c r="X264" s="125"/>
      <c r="AB264" s="71"/>
      <c r="AC264" s="71"/>
      <c r="AD264" s="71"/>
      <c r="AE264" s="125"/>
      <c r="AF264" s="71"/>
      <c r="AG264" s="71"/>
      <c r="AH264" s="71"/>
      <c r="AI264" s="218"/>
      <c r="AJ264" s="211"/>
      <c r="AK264" s="211"/>
      <c r="AL264" s="211"/>
      <c r="AP264" s="211"/>
      <c r="AQ264" s="211"/>
      <c r="AR264" s="211"/>
      <c r="AT264" s="211"/>
      <c r="AU264"/>
      <c r="AV264"/>
      <c r="AW264" s="211"/>
    </row>
    <row r="265" spans="2:49" x14ac:dyDescent="0.25">
      <c r="B265" s="450"/>
      <c r="C265" s="71"/>
      <c r="D265" s="71"/>
      <c r="E265" s="71"/>
      <c r="F265" s="317"/>
      <c r="G265" s="317"/>
      <c r="H265" s="317"/>
      <c r="I265" s="317"/>
      <c r="J265" s="71"/>
      <c r="K265" s="71"/>
      <c r="L265" s="71"/>
      <c r="M265" s="71"/>
      <c r="O265" s="71"/>
      <c r="P265" s="71"/>
      <c r="Q265" s="71"/>
      <c r="R265" s="71"/>
      <c r="S265" s="71"/>
      <c r="T265" s="71"/>
      <c r="U265" s="71"/>
      <c r="V265" s="71"/>
      <c r="W265" s="71"/>
      <c r="X265" s="125"/>
      <c r="AB265" s="71"/>
      <c r="AC265" s="71"/>
      <c r="AD265" s="71"/>
      <c r="AE265" s="125"/>
      <c r="AF265" s="71"/>
      <c r="AG265" s="71"/>
      <c r="AH265" s="71"/>
      <c r="AI265" s="218"/>
      <c r="AJ265" s="211"/>
      <c r="AK265" s="211"/>
      <c r="AL265" s="211"/>
      <c r="AP265" s="211"/>
      <c r="AQ265" s="211"/>
      <c r="AR265" s="211"/>
      <c r="AT265" s="211"/>
      <c r="AU265"/>
      <c r="AV265"/>
      <c r="AW265" s="211"/>
    </row>
    <row r="266" spans="2:49" x14ac:dyDescent="0.25">
      <c r="B266" s="450"/>
      <c r="C266" s="71"/>
      <c r="D266" s="71"/>
      <c r="E266" s="71"/>
      <c r="F266" s="317"/>
      <c r="G266" s="317"/>
      <c r="H266" s="317"/>
      <c r="I266" s="317"/>
      <c r="J266" s="71"/>
      <c r="K266" s="71"/>
      <c r="L266" s="71"/>
      <c r="M266" s="71"/>
      <c r="O266" s="71"/>
      <c r="P266" s="71"/>
      <c r="Q266" s="71"/>
      <c r="R266" s="71"/>
      <c r="S266" s="71"/>
      <c r="T266" s="71"/>
      <c r="U266" s="71"/>
      <c r="V266" s="71"/>
      <c r="W266" s="71"/>
      <c r="X266" s="125"/>
      <c r="AB266" s="71"/>
      <c r="AC266" s="71"/>
      <c r="AD266" s="71"/>
      <c r="AE266" s="125"/>
      <c r="AF266" s="71"/>
      <c r="AG266" s="71"/>
      <c r="AH266" s="71"/>
      <c r="AI266" s="218"/>
      <c r="AJ266" s="211"/>
      <c r="AK266" s="211"/>
      <c r="AL266" s="211"/>
      <c r="AP266" s="211"/>
      <c r="AQ266" s="211"/>
      <c r="AR266" s="211"/>
      <c r="AT266" s="211"/>
      <c r="AU266"/>
      <c r="AV266"/>
      <c r="AW266" s="211"/>
    </row>
    <row r="267" spans="2:49" x14ac:dyDescent="0.25">
      <c r="B267" s="450"/>
      <c r="C267" s="71"/>
      <c r="D267" s="71"/>
      <c r="E267" s="71"/>
      <c r="F267" s="317"/>
      <c r="G267" s="317"/>
      <c r="H267" s="317"/>
      <c r="I267" s="317"/>
      <c r="J267" s="71"/>
      <c r="K267" s="71"/>
      <c r="L267" s="71"/>
      <c r="M267" s="71"/>
      <c r="O267" s="71"/>
      <c r="P267" s="71"/>
      <c r="Q267" s="71"/>
      <c r="R267" s="71"/>
      <c r="S267" s="71"/>
      <c r="T267" s="71"/>
      <c r="U267" s="71"/>
      <c r="V267" s="71"/>
      <c r="W267" s="71"/>
      <c r="X267" s="125"/>
      <c r="AB267" s="71"/>
      <c r="AC267" s="71"/>
      <c r="AD267" s="71"/>
      <c r="AE267" s="125"/>
      <c r="AF267" s="71"/>
      <c r="AG267" s="71"/>
      <c r="AH267" s="71"/>
      <c r="AI267" s="218"/>
      <c r="AJ267" s="211"/>
      <c r="AK267" s="211"/>
      <c r="AL267" s="211"/>
      <c r="AP267" s="211"/>
      <c r="AQ267" s="211"/>
      <c r="AR267" s="211"/>
      <c r="AT267" s="211"/>
      <c r="AU267"/>
      <c r="AV267"/>
      <c r="AW267" s="211"/>
    </row>
    <row r="268" spans="2:49" x14ac:dyDescent="0.25">
      <c r="B268" s="450"/>
      <c r="C268" s="71"/>
      <c r="D268" s="71"/>
      <c r="E268" s="71"/>
      <c r="F268" s="317"/>
      <c r="G268" s="317"/>
      <c r="H268" s="317"/>
      <c r="I268" s="317"/>
      <c r="J268" s="71"/>
      <c r="K268" s="71"/>
      <c r="L268" s="71"/>
      <c r="M268" s="71"/>
      <c r="O268" s="71"/>
      <c r="P268" s="71"/>
      <c r="Q268" s="71"/>
      <c r="R268" s="71"/>
      <c r="S268" s="71"/>
      <c r="T268" s="71"/>
      <c r="U268" s="71"/>
      <c r="V268" s="71"/>
      <c r="W268" s="71"/>
      <c r="X268" s="125"/>
      <c r="AB268" s="71"/>
      <c r="AC268" s="71"/>
      <c r="AD268" s="71"/>
      <c r="AE268" s="125"/>
      <c r="AF268" s="71"/>
      <c r="AG268" s="71"/>
      <c r="AH268" s="71"/>
      <c r="AI268" s="218"/>
      <c r="AJ268" s="211"/>
      <c r="AK268" s="211"/>
      <c r="AL268" s="211"/>
      <c r="AP268" s="211"/>
      <c r="AQ268" s="211"/>
      <c r="AR268" s="211"/>
      <c r="AT268" s="211"/>
      <c r="AU268"/>
      <c r="AV268"/>
      <c r="AW268" s="211"/>
    </row>
    <row r="269" spans="2:49" x14ac:dyDescent="0.25">
      <c r="B269" s="450"/>
      <c r="C269" s="71"/>
      <c r="D269" s="71"/>
      <c r="E269" s="71"/>
      <c r="F269" s="317"/>
      <c r="G269" s="317"/>
      <c r="H269" s="317"/>
      <c r="I269" s="317"/>
      <c r="J269" s="71"/>
      <c r="K269" s="71"/>
      <c r="L269" s="71"/>
      <c r="M269" s="71"/>
      <c r="O269" s="71"/>
      <c r="P269" s="71"/>
      <c r="Q269" s="71"/>
      <c r="R269" s="71"/>
      <c r="S269" s="71"/>
      <c r="T269" s="71"/>
      <c r="U269" s="71"/>
      <c r="V269" s="71"/>
      <c r="W269" s="71"/>
      <c r="X269" s="125"/>
      <c r="AB269" s="71"/>
      <c r="AC269" s="71"/>
      <c r="AD269" s="71"/>
      <c r="AE269" s="125"/>
      <c r="AF269" s="71"/>
      <c r="AG269" s="71"/>
      <c r="AH269" s="71"/>
      <c r="AI269" s="218"/>
      <c r="AJ269" s="211"/>
      <c r="AK269" s="211"/>
      <c r="AL269" s="211"/>
      <c r="AP269" s="211"/>
      <c r="AQ269" s="211"/>
      <c r="AR269" s="211"/>
      <c r="AT269" s="211"/>
      <c r="AU269"/>
      <c r="AV269"/>
      <c r="AW269" s="211"/>
    </row>
    <row r="270" spans="2:49" x14ac:dyDescent="0.25">
      <c r="B270" s="450"/>
      <c r="C270" s="71"/>
      <c r="D270" s="71"/>
      <c r="E270" s="71"/>
      <c r="F270" s="317"/>
      <c r="G270" s="317"/>
      <c r="H270" s="317"/>
      <c r="I270" s="317"/>
      <c r="J270" s="71"/>
      <c r="K270" s="71"/>
      <c r="L270" s="71"/>
      <c r="M270" s="71"/>
      <c r="O270" s="71"/>
      <c r="P270" s="71"/>
      <c r="Q270" s="71"/>
      <c r="R270" s="71"/>
      <c r="S270" s="71"/>
      <c r="T270" s="71"/>
      <c r="U270" s="71"/>
      <c r="V270" s="71"/>
      <c r="W270" s="71"/>
      <c r="X270" s="125"/>
      <c r="AB270" s="71"/>
      <c r="AC270" s="71"/>
      <c r="AD270" s="71"/>
      <c r="AE270" s="125"/>
      <c r="AF270" s="71"/>
      <c r="AG270" s="71"/>
      <c r="AH270" s="71"/>
      <c r="AI270" s="218"/>
      <c r="AJ270" s="211"/>
      <c r="AK270" s="211"/>
      <c r="AL270" s="211"/>
      <c r="AP270" s="211"/>
      <c r="AQ270" s="211"/>
      <c r="AR270" s="211"/>
      <c r="AT270" s="211"/>
      <c r="AU270"/>
      <c r="AV270"/>
      <c r="AW270" s="211"/>
    </row>
    <row r="271" spans="2:49" x14ac:dyDescent="0.25">
      <c r="B271" s="450"/>
      <c r="C271" s="71"/>
      <c r="D271" s="71"/>
      <c r="E271" s="71"/>
      <c r="F271" s="317"/>
      <c r="G271" s="317"/>
      <c r="H271" s="317"/>
      <c r="I271" s="317"/>
      <c r="J271" s="71"/>
      <c r="K271" s="71"/>
      <c r="L271" s="71"/>
      <c r="M271" s="71"/>
      <c r="O271" s="71"/>
      <c r="P271" s="71"/>
      <c r="Q271" s="71"/>
      <c r="R271" s="71"/>
      <c r="S271" s="71"/>
      <c r="T271" s="71"/>
      <c r="U271" s="71"/>
      <c r="V271" s="71"/>
      <c r="W271" s="71"/>
      <c r="X271" s="125"/>
      <c r="AB271" s="71"/>
      <c r="AC271" s="71"/>
      <c r="AD271" s="71"/>
      <c r="AE271" s="125"/>
      <c r="AF271" s="71"/>
      <c r="AG271" s="71"/>
      <c r="AH271" s="71"/>
      <c r="AI271" s="218"/>
      <c r="AJ271" s="211"/>
      <c r="AK271" s="211"/>
      <c r="AL271" s="211"/>
      <c r="AP271" s="211"/>
      <c r="AQ271" s="211"/>
      <c r="AR271" s="211"/>
      <c r="AT271" s="211"/>
      <c r="AU271"/>
      <c r="AV271"/>
      <c r="AW271" s="211"/>
    </row>
    <row r="272" spans="2:49" x14ac:dyDescent="0.25">
      <c r="B272" s="450"/>
      <c r="C272" s="71"/>
      <c r="D272" s="71"/>
      <c r="E272" s="71"/>
      <c r="F272" s="317"/>
      <c r="G272" s="317"/>
      <c r="H272" s="317"/>
      <c r="I272" s="317"/>
      <c r="J272" s="71"/>
      <c r="K272" s="71"/>
      <c r="L272" s="71"/>
      <c r="M272" s="71"/>
      <c r="O272" s="71"/>
      <c r="P272" s="71"/>
      <c r="Q272" s="71"/>
      <c r="R272" s="71"/>
      <c r="S272" s="71"/>
      <c r="T272" s="71"/>
      <c r="U272" s="71"/>
      <c r="V272" s="71"/>
      <c r="W272" s="71"/>
      <c r="X272" s="125"/>
      <c r="AB272" s="71"/>
      <c r="AC272" s="71"/>
      <c r="AD272" s="71"/>
      <c r="AE272" s="125"/>
      <c r="AF272" s="71"/>
      <c r="AG272" s="71"/>
      <c r="AH272" s="71"/>
      <c r="AI272" s="218"/>
      <c r="AJ272" s="211"/>
      <c r="AK272" s="211"/>
      <c r="AL272" s="211"/>
      <c r="AP272" s="211"/>
      <c r="AQ272" s="211"/>
      <c r="AR272" s="211"/>
      <c r="AT272" s="211"/>
      <c r="AU272"/>
      <c r="AV272"/>
      <c r="AW272" s="211"/>
    </row>
    <row r="273" spans="2:49" x14ac:dyDescent="0.25">
      <c r="B273" s="450"/>
      <c r="C273" s="71"/>
      <c r="D273" s="71"/>
      <c r="E273" s="71"/>
      <c r="F273" s="317"/>
      <c r="G273" s="317"/>
      <c r="H273" s="317"/>
      <c r="I273" s="317"/>
      <c r="J273" s="71"/>
      <c r="K273" s="71"/>
      <c r="L273" s="71"/>
      <c r="M273" s="71"/>
      <c r="O273" s="71"/>
      <c r="P273" s="71"/>
      <c r="Q273" s="71"/>
      <c r="R273" s="71"/>
      <c r="S273" s="71"/>
      <c r="T273" s="71"/>
      <c r="U273" s="71"/>
      <c r="V273" s="71"/>
      <c r="W273" s="71"/>
      <c r="X273" s="125"/>
      <c r="AB273" s="71"/>
      <c r="AC273" s="71"/>
      <c r="AD273" s="71"/>
      <c r="AE273" s="125"/>
      <c r="AF273" s="71"/>
      <c r="AG273" s="71"/>
      <c r="AH273" s="71"/>
      <c r="AI273" s="218"/>
      <c r="AJ273" s="211"/>
      <c r="AK273" s="211"/>
      <c r="AL273" s="211"/>
      <c r="AP273" s="211"/>
      <c r="AQ273" s="211"/>
      <c r="AR273" s="211"/>
      <c r="AT273" s="211"/>
      <c r="AU273"/>
      <c r="AV273"/>
      <c r="AW273" s="211"/>
    </row>
    <row r="274" spans="2:49" x14ac:dyDescent="0.25">
      <c r="B274" s="450"/>
      <c r="C274" s="71"/>
      <c r="D274" s="71"/>
      <c r="E274" s="71"/>
      <c r="F274" s="317"/>
      <c r="G274" s="317"/>
      <c r="H274" s="317"/>
      <c r="I274" s="317"/>
      <c r="J274" s="71"/>
      <c r="K274" s="71"/>
      <c r="L274" s="71"/>
      <c r="M274" s="71"/>
      <c r="O274" s="71"/>
      <c r="P274" s="71"/>
      <c r="Q274" s="71"/>
      <c r="R274" s="71"/>
      <c r="S274" s="71"/>
      <c r="T274" s="71"/>
      <c r="U274" s="71"/>
      <c r="V274" s="71"/>
      <c r="W274" s="71"/>
      <c r="X274" s="125"/>
      <c r="AB274" s="71"/>
      <c r="AC274" s="71"/>
      <c r="AD274" s="71"/>
      <c r="AE274" s="125"/>
      <c r="AF274" s="71"/>
      <c r="AG274" s="71"/>
      <c r="AH274" s="71"/>
      <c r="AI274" s="218"/>
      <c r="AJ274" s="211"/>
      <c r="AK274" s="211"/>
      <c r="AL274" s="211"/>
      <c r="AP274" s="211"/>
      <c r="AQ274" s="211"/>
      <c r="AR274" s="211"/>
      <c r="AT274" s="211"/>
      <c r="AU274"/>
      <c r="AV274"/>
      <c r="AW274" s="211"/>
    </row>
    <row r="275" spans="2:49" x14ac:dyDescent="0.25">
      <c r="B275" s="450"/>
      <c r="C275" s="71"/>
      <c r="D275" s="71"/>
      <c r="E275" s="71"/>
      <c r="F275" s="317"/>
      <c r="G275" s="317"/>
      <c r="H275" s="317"/>
      <c r="I275" s="317"/>
      <c r="J275" s="71"/>
      <c r="K275" s="71"/>
      <c r="L275" s="71"/>
      <c r="M275" s="71"/>
      <c r="O275" s="71"/>
      <c r="P275" s="71"/>
      <c r="Q275" s="71"/>
      <c r="R275" s="71"/>
      <c r="S275" s="71"/>
      <c r="T275" s="71"/>
      <c r="U275" s="71"/>
      <c r="V275" s="71"/>
      <c r="W275" s="71"/>
      <c r="X275" s="125"/>
      <c r="AB275" s="71"/>
      <c r="AC275" s="71"/>
      <c r="AD275" s="71"/>
      <c r="AE275" s="125"/>
      <c r="AF275" s="71"/>
      <c r="AG275" s="71"/>
      <c r="AH275" s="71"/>
      <c r="AI275" s="218"/>
      <c r="AJ275" s="211"/>
      <c r="AK275" s="211"/>
      <c r="AL275" s="211"/>
      <c r="AP275" s="211"/>
      <c r="AQ275" s="211"/>
      <c r="AR275" s="211"/>
      <c r="AT275" s="211"/>
      <c r="AU275"/>
      <c r="AV275"/>
      <c r="AW275" s="211"/>
    </row>
    <row r="276" spans="2:49" x14ac:dyDescent="0.25">
      <c r="B276" s="450"/>
      <c r="C276" s="71"/>
      <c r="D276" s="71"/>
      <c r="E276" s="71"/>
      <c r="F276" s="317"/>
      <c r="G276" s="317"/>
      <c r="H276" s="317"/>
      <c r="I276" s="317"/>
      <c r="J276" s="71"/>
      <c r="K276" s="71"/>
      <c r="L276" s="71"/>
      <c r="M276" s="71"/>
      <c r="O276" s="71"/>
      <c r="P276" s="71"/>
      <c r="Q276" s="71"/>
      <c r="R276" s="71"/>
      <c r="S276" s="71"/>
      <c r="T276" s="71"/>
      <c r="U276" s="71"/>
      <c r="V276" s="71"/>
      <c r="W276" s="71"/>
      <c r="X276" s="125"/>
      <c r="AB276" s="71"/>
      <c r="AC276" s="71"/>
      <c r="AD276" s="71"/>
      <c r="AE276" s="125"/>
      <c r="AF276" s="71"/>
      <c r="AG276" s="71"/>
      <c r="AH276" s="71"/>
      <c r="AI276" s="218"/>
      <c r="AJ276" s="211"/>
      <c r="AK276" s="211"/>
      <c r="AL276" s="211"/>
      <c r="AP276" s="211"/>
      <c r="AQ276" s="211"/>
      <c r="AR276" s="211"/>
      <c r="AT276" s="211"/>
      <c r="AU276"/>
      <c r="AV276"/>
      <c r="AW276" s="211"/>
    </row>
    <row r="277" spans="2:49" x14ac:dyDescent="0.25">
      <c r="B277" s="450"/>
      <c r="C277" s="71"/>
      <c r="D277" s="71"/>
      <c r="E277" s="71"/>
      <c r="F277" s="317"/>
      <c r="G277" s="317"/>
      <c r="H277" s="317"/>
      <c r="I277" s="317"/>
      <c r="J277" s="71"/>
      <c r="K277" s="71"/>
      <c r="L277" s="71"/>
      <c r="M277" s="71"/>
      <c r="O277" s="71"/>
      <c r="P277" s="71"/>
      <c r="Q277" s="71"/>
      <c r="R277" s="71"/>
      <c r="S277" s="71"/>
      <c r="T277" s="71"/>
      <c r="U277" s="71"/>
      <c r="V277" s="71"/>
      <c r="W277" s="71"/>
      <c r="X277" s="125"/>
      <c r="AB277" s="71"/>
      <c r="AC277" s="71"/>
      <c r="AD277" s="71"/>
      <c r="AE277" s="125"/>
      <c r="AF277" s="71"/>
      <c r="AG277" s="71"/>
      <c r="AH277" s="71"/>
      <c r="AI277" s="218"/>
      <c r="AJ277" s="211"/>
      <c r="AK277" s="211"/>
      <c r="AL277" s="211"/>
      <c r="AP277" s="211"/>
      <c r="AQ277" s="211"/>
      <c r="AR277" s="211"/>
      <c r="AT277" s="211"/>
      <c r="AU277"/>
      <c r="AV277"/>
      <c r="AW277" s="211"/>
    </row>
    <row r="278" spans="2:49" x14ac:dyDescent="0.25">
      <c r="B278" s="450"/>
      <c r="C278" s="71"/>
      <c r="D278" s="71"/>
      <c r="E278" s="71"/>
      <c r="F278" s="317"/>
      <c r="G278" s="317"/>
      <c r="H278" s="317"/>
      <c r="I278" s="317"/>
      <c r="J278" s="71"/>
      <c r="K278" s="71"/>
      <c r="L278" s="71"/>
      <c r="M278" s="71"/>
      <c r="O278" s="71"/>
      <c r="P278" s="71"/>
      <c r="Q278" s="71"/>
      <c r="R278" s="71"/>
      <c r="S278" s="71"/>
      <c r="T278" s="71"/>
      <c r="U278" s="71"/>
      <c r="V278" s="71"/>
      <c r="W278" s="71"/>
      <c r="X278" s="125"/>
      <c r="AB278" s="71"/>
      <c r="AC278" s="71"/>
      <c r="AD278" s="71"/>
      <c r="AE278" s="125"/>
      <c r="AF278" s="71"/>
      <c r="AG278" s="71"/>
      <c r="AH278" s="71"/>
      <c r="AI278" s="218"/>
      <c r="AJ278" s="211"/>
      <c r="AK278" s="211"/>
      <c r="AL278" s="211"/>
      <c r="AP278" s="211"/>
      <c r="AQ278" s="211"/>
      <c r="AR278" s="211"/>
      <c r="AT278" s="211"/>
      <c r="AU278"/>
      <c r="AV278"/>
      <c r="AW278" s="211"/>
    </row>
    <row r="279" spans="2:49" x14ac:dyDescent="0.25">
      <c r="B279" s="450"/>
      <c r="C279" s="71"/>
      <c r="D279" s="71"/>
      <c r="E279" s="71"/>
      <c r="F279" s="317"/>
      <c r="G279" s="317"/>
      <c r="H279" s="317"/>
      <c r="I279" s="317"/>
      <c r="J279" s="71"/>
      <c r="K279" s="71"/>
      <c r="L279" s="71"/>
      <c r="M279" s="71"/>
      <c r="O279" s="71"/>
      <c r="P279" s="71"/>
      <c r="Q279" s="71"/>
      <c r="R279" s="71"/>
      <c r="S279" s="71"/>
      <c r="T279" s="71"/>
      <c r="U279" s="71"/>
      <c r="V279" s="71"/>
      <c r="W279" s="71"/>
      <c r="X279" s="125"/>
      <c r="AB279" s="71"/>
      <c r="AC279" s="71"/>
      <c r="AD279" s="71"/>
      <c r="AE279" s="125"/>
      <c r="AF279" s="71"/>
      <c r="AG279" s="71"/>
      <c r="AH279" s="71"/>
      <c r="AI279" s="218"/>
      <c r="AJ279" s="211"/>
      <c r="AK279" s="211"/>
      <c r="AL279" s="211"/>
      <c r="AP279" s="211"/>
      <c r="AQ279" s="211"/>
      <c r="AR279" s="211"/>
      <c r="AT279" s="211"/>
      <c r="AU279"/>
      <c r="AV279"/>
      <c r="AW279" s="211"/>
    </row>
    <row r="280" spans="2:49" x14ac:dyDescent="0.25">
      <c r="B280" s="450"/>
      <c r="C280" s="71"/>
      <c r="D280" s="71"/>
      <c r="E280" s="71"/>
      <c r="F280" s="317"/>
      <c r="G280" s="317"/>
      <c r="H280" s="317"/>
      <c r="I280" s="317"/>
      <c r="J280" s="71"/>
      <c r="K280" s="71"/>
      <c r="L280" s="71"/>
      <c r="M280" s="71"/>
      <c r="O280" s="71"/>
      <c r="P280" s="71"/>
      <c r="Q280" s="71"/>
      <c r="R280" s="71"/>
      <c r="S280" s="71"/>
      <c r="T280" s="71"/>
      <c r="U280" s="71"/>
      <c r="V280" s="71"/>
      <c r="W280" s="71"/>
      <c r="X280" s="125"/>
      <c r="AB280" s="71"/>
      <c r="AC280" s="71"/>
      <c r="AD280" s="71"/>
      <c r="AE280" s="125"/>
      <c r="AF280" s="71"/>
      <c r="AG280" s="71"/>
      <c r="AH280" s="71"/>
      <c r="AI280" s="218"/>
      <c r="AJ280" s="211"/>
      <c r="AK280" s="211"/>
      <c r="AL280" s="211"/>
      <c r="AP280" s="211"/>
      <c r="AQ280" s="211"/>
      <c r="AR280" s="211"/>
      <c r="AT280" s="211"/>
      <c r="AU280"/>
      <c r="AV280"/>
      <c r="AW280" s="211"/>
    </row>
    <row r="281" spans="2:49" x14ac:dyDescent="0.25">
      <c r="B281" s="450"/>
      <c r="C281" s="71"/>
      <c r="D281" s="71"/>
      <c r="E281" s="71"/>
      <c r="F281" s="317"/>
      <c r="G281" s="317"/>
      <c r="H281" s="317"/>
      <c r="I281" s="317"/>
      <c r="J281" s="71"/>
      <c r="K281" s="71"/>
      <c r="L281" s="71"/>
      <c r="M281" s="71"/>
      <c r="O281" s="71"/>
      <c r="P281" s="71"/>
      <c r="Q281" s="71"/>
      <c r="R281" s="71"/>
      <c r="S281" s="71"/>
      <c r="T281" s="71"/>
      <c r="U281" s="71"/>
      <c r="V281" s="71"/>
      <c r="W281" s="71"/>
      <c r="X281" s="125"/>
      <c r="AB281" s="71"/>
      <c r="AC281" s="71"/>
      <c r="AD281" s="71"/>
      <c r="AE281" s="125"/>
      <c r="AF281" s="71"/>
      <c r="AG281" s="71"/>
      <c r="AH281" s="71"/>
      <c r="AI281" s="218"/>
      <c r="AJ281" s="211"/>
      <c r="AK281" s="211"/>
      <c r="AL281" s="211"/>
      <c r="AP281" s="211"/>
      <c r="AQ281" s="211"/>
      <c r="AR281" s="211"/>
      <c r="AT281" s="211"/>
      <c r="AU281"/>
      <c r="AV281"/>
      <c r="AW281" s="211"/>
    </row>
    <row r="282" spans="2:49" x14ac:dyDescent="0.25">
      <c r="B282" s="450"/>
      <c r="C282" s="71"/>
      <c r="D282" s="71"/>
      <c r="E282" s="71"/>
      <c r="F282" s="317"/>
      <c r="G282" s="317"/>
      <c r="H282" s="317"/>
      <c r="I282" s="317"/>
      <c r="J282" s="71"/>
      <c r="K282" s="71"/>
      <c r="L282" s="71"/>
      <c r="M282" s="71"/>
      <c r="O282" s="71"/>
      <c r="P282" s="71"/>
      <c r="Q282" s="71"/>
      <c r="R282" s="71"/>
      <c r="S282" s="71"/>
      <c r="T282" s="71"/>
      <c r="U282" s="71"/>
      <c r="V282" s="71"/>
      <c r="W282" s="71"/>
      <c r="X282" s="125"/>
      <c r="AB282" s="71"/>
      <c r="AC282" s="71"/>
      <c r="AD282" s="71"/>
      <c r="AE282" s="125"/>
      <c r="AF282" s="71"/>
      <c r="AG282" s="71"/>
      <c r="AH282" s="71"/>
      <c r="AI282" s="218"/>
      <c r="AJ282" s="211"/>
      <c r="AK282" s="211"/>
      <c r="AL282" s="211"/>
      <c r="AP282" s="211"/>
      <c r="AQ282" s="211"/>
      <c r="AR282" s="211"/>
      <c r="AT282" s="211"/>
      <c r="AU282"/>
      <c r="AV282"/>
      <c r="AW282" s="211"/>
    </row>
    <row r="283" spans="2:49" x14ac:dyDescent="0.25">
      <c r="B283" s="450"/>
      <c r="C283" s="71"/>
      <c r="D283" s="71"/>
      <c r="E283" s="71"/>
      <c r="F283" s="317"/>
      <c r="G283" s="317"/>
      <c r="H283" s="317"/>
      <c r="I283" s="317"/>
      <c r="J283" s="71"/>
      <c r="K283" s="71"/>
      <c r="L283" s="71"/>
      <c r="M283" s="71"/>
      <c r="O283" s="71"/>
      <c r="P283" s="71"/>
      <c r="Q283" s="71"/>
      <c r="R283" s="71"/>
      <c r="S283" s="71"/>
      <c r="T283" s="71"/>
      <c r="U283" s="71"/>
      <c r="V283" s="71"/>
      <c r="W283" s="71"/>
      <c r="X283" s="125"/>
      <c r="AB283" s="71"/>
      <c r="AC283" s="71"/>
      <c r="AD283" s="71"/>
      <c r="AE283" s="125"/>
      <c r="AF283" s="71"/>
      <c r="AG283" s="71"/>
      <c r="AH283" s="71"/>
      <c r="AI283" s="218"/>
      <c r="AJ283" s="211"/>
      <c r="AK283" s="211"/>
      <c r="AL283" s="211"/>
      <c r="AP283" s="211"/>
      <c r="AQ283" s="211"/>
      <c r="AR283" s="211"/>
      <c r="AT283" s="211"/>
      <c r="AU283"/>
      <c r="AV283"/>
      <c r="AW283" s="211"/>
    </row>
    <row r="284" spans="2:49" x14ac:dyDescent="0.25">
      <c r="B284" s="450"/>
      <c r="C284" s="71"/>
      <c r="D284" s="71"/>
      <c r="E284" s="71"/>
      <c r="F284" s="317"/>
      <c r="G284" s="317"/>
      <c r="H284" s="317"/>
      <c r="I284" s="317"/>
      <c r="J284" s="71"/>
      <c r="K284" s="71"/>
      <c r="L284" s="71"/>
      <c r="M284" s="71"/>
      <c r="O284" s="71"/>
      <c r="P284" s="71"/>
      <c r="Q284" s="71"/>
      <c r="R284" s="71"/>
      <c r="S284" s="71"/>
      <c r="T284" s="71"/>
      <c r="U284" s="71"/>
      <c r="V284" s="71"/>
      <c r="W284" s="71"/>
      <c r="X284" s="125"/>
      <c r="AB284" s="71"/>
      <c r="AC284" s="71"/>
      <c r="AD284" s="71"/>
      <c r="AE284" s="125"/>
      <c r="AF284" s="71"/>
      <c r="AG284" s="71"/>
      <c r="AH284" s="71"/>
      <c r="AI284" s="218"/>
      <c r="AJ284" s="211"/>
      <c r="AK284" s="211"/>
      <c r="AL284" s="211"/>
      <c r="AP284" s="211"/>
      <c r="AQ284" s="211"/>
      <c r="AR284" s="211"/>
      <c r="AT284" s="211"/>
      <c r="AU284"/>
      <c r="AV284"/>
      <c r="AW284" s="211"/>
    </row>
    <row r="285" spans="2:49" x14ac:dyDescent="0.25">
      <c r="B285" s="450"/>
      <c r="C285" s="71"/>
      <c r="D285" s="71"/>
      <c r="E285" s="71"/>
      <c r="F285" s="317"/>
      <c r="G285" s="317"/>
      <c r="H285" s="317"/>
      <c r="I285" s="317"/>
      <c r="J285" s="71"/>
      <c r="K285" s="71"/>
      <c r="L285" s="71"/>
      <c r="M285" s="71"/>
      <c r="O285" s="71"/>
      <c r="P285" s="71"/>
      <c r="Q285" s="71"/>
      <c r="R285" s="71"/>
      <c r="S285" s="71"/>
      <c r="T285" s="71"/>
      <c r="U285" s="71"/>
      <c r="V285" s="71"/>
      <c r="W285" s="71"/>
      <c r="X285" s="125"/>
      <c r="AB285" s="71"/>
      <c r="AC285" s="71"/>
      <c r="AD285" s="71"/>
      <c r="AE285" s="125"/>
      <c r="AF285" s="71"/>
      <c r="AG285" s="71"/>
      <c r="AH285" s="71"/>
      <c r="AI285" s="218"/>
      <c r="AJ285" s="211"/>
      <c r="AK285" s="211"/>
      <c r="AL285" s="211"/>
      <c r="AP285" s="211"/>
      <c r="AQ285" s="211"/>
      <c r="AR285" s="211"/>
      <c r="AT285" s="211"/>
      <c r="AU285"/>
      <c r="AV285"/>
      <c r="AW285" s="211"/>
    </row>
    <row r="286" spans="2:49" x14ac:dyDescent="0.25">
      <c r="B286" s="450"/>
      <c r="C286" s="71"/>
      <c r="D286" s="71"/>
      <c r="E286" s="71"/>
      <c r="F286" s="317"/>
      <c r="G286" s="317"/>
      <c r="H286" s="317"/>
      <c r="I286" s="317"/>
      <c r="J286" s="71"/>
      <c r="K286" s="71"/>
      <c r="L286" s="71"/>
      <c r="M286" s="71"/>
      <c r="O286" s="71"/>
      <c r="P286" s="71"/>
      <c r="Q286" s="71"/>
      <c r="R286" s="71"/>
      <c r="S286" s="71"/>
      <c r="T286" s="71"/>
      <c r="U286" s="71"/>
      <c r="V286" s="71"/>
      <c r="W286" s="71"/>
      <c r="X286" s="125"/>
      <c r="AB286" s="71"/>
      <c r="AC286" s="71"/>
      <c r="AD286" s="71"/>
      <c r="AE286" s="125"/>
      <c r="AF286" s="71"/>
      <c r="AG286" s="71"/>
      <c r="AH286" s="71"/>
      <c r="AI286" s="218"/>
      <c r="AJ286" s="211"/>
      <c r="AK286" s="211"/>
      <c r="AL286" s="211"/>
      <c r="AP286" s="211"/>
      <c r="AQ286" s="211"/>
      <c r="AR286" s="211"/>
      <c r="AT286" s="211"/>
      <c r="AU286"/>
      <c r="AV286"/>
      <c r="AW286" s="211"/>
    </row>
    <row r="287" spans="2:49" x14ac:dyDescent="0.25">
      <c r="B287" s="450"/>
      <c r="C287" s="71"/>
      <c r="D287" s="71"/>
      <c r="E287" s="71"/>
      <c r="F287" s="317"/>
      <c r="G287" s="317"/>
      <c r="H287" s="317"/>
      <c r="I287" s="317"/>
      <c r="J287" s="71"/>
      <c r="K287" s="71"/>
      <c r="L287" s="71"/>
      <c r="M287" s="71"/>
      <c r="O287" s="71"/>
      <c r="P287" s="71"/>
      <c r="Q287" s="71"/>
      <c r="R287" s="71"/>
      <c r="S287" s="71"/>
      <c r="T287" s="71"/>
      <c r="U287" s="71"/>
      <c r="V287" s="71"/>
      <c r="W287" s="71"/>
      <c r="X287" s="125"/>
      <c r="AB287" s="71"/>
      <c r="AC287" s="71"/>
      <c r="AD287" s="71"/>
      <c r="AE287" s="125"/>
      <c r="AF287" s="71"/>
      <c r="AG287" s="71"/>
      <c r="AH287" s="71"/>
      <c r="AI287" s="218"/>
      <c r="AJ287" s="211"/>
      <c r="AK287" s="211"/>
      <c r="AL287" s="211"/>
      <c r="AP287" s="211"/>
      <c r="AQ287" s="211"/>
      <c r="AR287" s="211"/>
      <c r="AT287" s="211"/>
      <c r="AU287"/>
      <c r="AV287"/>
      <c r="AW287" s="211"/>
    </row>
    <row r="288" spans="2:49" x14ac:dyDescent="0.25">
      <c r="B288" s="450"/>
      <c r="C288" s="71"/>
      <c r="D288" s="71"/>
      <c r="E288" s="71"/>
      <c r="F288" s="317"/>
      <c r="G288" s="317"/>
      <c r="H288" s="317"/>
      <c r="I288" s="317"/>
      <c r="J288" s="71"/>
      <c r="K288" s="71"/>
      <c r="L288" s="71"/>
      <c r="M288" s="71"/>
      <c r="O288" s="71"/>
      <c r="P288" s="71"/>
      <c r="Q288" s="71"/>
      <c r="R288" s="71"/>
      <c r="S288" s="71"/>
      <c r="T288" s="71"/>
      <c r="U288" s="71"/>
      <c r="V288" s="71"/>
      <c r="W288" s="71"/>
      <c r="X288" s="125"/>
      <c r="AB288" s="71"/>
      <c r="AC288" s="71"/>
      <c r="AD288" s="71"/>
      <c r="AE288" s="125"/>
      <c r="AF288" s="71"/>
      <c r="AG288" s="71"/>
      <c r="AH288" s="71"/>
      <c r="AI288" s="218"/>
      <c r="AJ288" s="211"/>
      <c r="AK288" s="211"/>
      <c r="AL288" s="211"/>
      <c r="AP288" s="211"/>
      <c r="AQ288" s="211"/>
      <c r="AR288" s="211"/>
      <c r="AT288" s="211"/>
      <c r="AU288"/>
      <c r="AV288"/>
      <c r="AW288" s="211"/>
    </row>
    <row r="289" spans="2:49" x14ac:dyDescent="0.25">
      <c r="B289" s="450"/>
      <c r="C289" s="71"/>
      <c r="D289" s="71"/>
      <c r="E289" s="71"/>
      <c r="F289" s="317"/>
      <c r="G289" s="317"/>
      <c r="H289" s="317"/>
      <c r="I289" s="317"/>
      <c r="J289" s="71"/>
      <c r="K289" s="71"/>
      <c r="L289" s="71"/>
      <c r="M289" s="71"/>
      <c r="O289" s="71"/>
      <c r="P289" s="71"/>
      <c r="Q289" s="71"/>
      <c r="R289" s="71"/>
      <c r="S289" s="71"/>
      <c r="T289" s="71"/>
      <c r="U289" s="71"/>
      <c r="V289" s="71"/>
      <c r="W289" s="71"/>
      <c r="X289" s="125"/>
      <c r="AB289" s="71"/>
      <c r="AC289" s="71"/>
      <c r="AD289" s="71"/>
      <c r="AE289" s="125"/>
      <c r="AF289" s="71"/>
      <c r="AG289" s="71"/>
      <c r="AH289" s="71"/>
      <c r="AI289" s="218"/>
      <c r="AJ289" s="211"/>
      <c r="AK289" s="211"/>
      <c r="AL289" s="211"/>
      <c r="AP289" s="211"/>
      <c r="AQ289" s="211"/>
      <c r="AR289" s="211"/>
      <c r="AT289" s="211"/>
      <c r="AU289"/>
      <c r="AV289"/>
      <c r="AW289" s="211"/>
    </row>
    <row r="290" spans="2:49" x14ac:dyDescent="0.25">
      <c r="B290" s="450"/>
      <c r="C290" s="71"/>
      <c r="D290" s="71"/>
      <c r="E290" s="71"/>
      <c r="F290" s="317"/>
      <c r="G290" s="317"/>
      <c r="H290" s="317"/>
      <c r="I290" s="317"/>
      <c r="J290" s="71"/>
      <c r="K290" s="71"/>
      <c r="L290" s="71"/>
      <c r="M290" s="71"/>
      <c r="O290" s="71"/>
      <c r="P290" s="71"/>
      <c r="Q290" s="71"/>
      <c r="R290" s="71"/>
      <c r="S290" s="71"/>
      <c r="T290" s="71"/>
      <c r="U290" s="71"/>
      <c r="V290" s="71"/>
      <c r="W290" s="71"/>
      <c r="X290" s="125"/>
      <c r="AB290" s="71"/>
      <c r="AC290" s="71"/>
      <c r="AD290" s="71"/>
      <c r="AE290" s="125"/>
      <c r="AF290" s="71"/>
      <c r="AG290" s="71"/>
      <c r="AH290" s="71"/>
      <c r="AI290" s="218"/>
      <c r="AJ290" s="211"/>
      <c r="AK290" s="211"/>
      <c r="AL290" s="211"/>
      <c r="AP290" s="211"/>
      <c r="AQ290" s="211"/>
      <c r="AR290" s="211"/>
      <c r="AT290" s="211"/>
      <c r="AU290"/>
      <c r="AV290"/>
      <c r="AW290" s="211"/>
    </row>
    <row r="291" spans="2:49" x14ac:dyDescent="0.25">
      <c r="B291" s="450"/>
      <c r="C291" s="71"/>
      <c r="D291" s="71"/>
      <c r="E291" s="71"/>
      <c r="F291" s="317"/>
      <c r="G291" s="317"/>
      <c r="H291" s="317"/>
      <c r="I291" s="317"/>
      <c r="J291" s="71"/>
      <c r="K291" s="71"/>
      <c r="L291" s="71"/>
      <c r="M291" s="71"/>
      <c r="O291" s="71"/>
      <c r="P291" s="71"/>
      <c r="Q291" s="71"/>
      <c r="R291" s="71"/>
      <c r="S291" s="71"/>
      <c r="T291" s="71"/>
      <c r="U291" s="71"/>
      <c r="V291" s="71"/>
      <c r="W291" s="71"/>
      <c r="X291" s="125"/>
      <c r="AB291" s="71"/>
      <c r="AC291" s="71"/>
      <c r="AD291" s="71"/>
      <c r="AE291" s="125"/>
      <c r="AF291" s="71"/>
      <c r="AG291" s="71"/>
      <c r="AH291" s="71"/>
      <c r="AI291" s="218"/>
      <c r="AJ291" s="211"/>
      <c r="AK291" s="211"/>
      <c r="AL291" s="211"/>
      <c r="AP291" s="211"/>
      <c r="AQ291" s="211"/>
      <c r="AR291" s="211"/>
      <c r="AT291" s="211"/>
      <c r="AU291"/>
      <c r="AV291"/>
      <c r="AW291" s="211"/>
    </row>
    <row r="292" spans="2:49" x14ac:dyDescent="0.25">
      <c r="B292" s="450"/>
      <c r="C292" s="71"/>
      <c r="D292" s="71"/>
      <c r="E292" s="71"/>
      <c r="F292" s="317"/>
      <c r="G292" s="317"/>
      <c r="H292" s="317"/>
      <c r="I292" s="317"/>
      <c r="J292" s="71"/>
      <c r="K292" s="71"/>
      <c r="L292" s="71"/>
      <c r="M292" s="71"/>
      <c r="O292" s="71"/>
      <c r="P292" s="71"/>
      <c r="Q292" s="71"/>
      <c r="R292" s="71"/>
      <c r="S292" s="71"/>
      <c r="T292" s="71"/>
      <c r="U292" s="71"/>
      <c r="V292" s="71"/>
      <c r="W292" s="71"/>
      <c r="X292" s="125"/>
      <c r="AB292" s="71"/>
      <c r="AC292" s="71"/>
      <c r="AD292" s="71"/>
      <c r="AE292" s="125"/>
      <c r="AF292" s="71"/>
      <c r="AG292" s="71"/>
      <c r="AH292" s="71"/>
      <c r="AI292" s="218"/>
      <c r="AJ292" s="211"/>
      <c r="AK292" s="211"/>
      <c r="AL292" s="211"/>
      <c r="AP292" s="211"/>
      <c r="AQ292" s="211"/>
      <c r="AR292" s="211"/>
      <c r="AT292" s="211"/>
      <c r="AU292"/>
      <c r="AV292"/>
      <c r="AW292" s="211"/>
    </row>
    <row r="293" spans="2:49" x14ac:dyDescent="0.25">
      <c r="B293" s="450"/>
      <c r="C293" s="71"/>
      <c r="D293" s="71"/>
      <c r="E293" s="71"/>
      <c r="F293" s="317"/>
      <c r="G293" s="317"/>
      <c r="H293" s="317"/>
      <c r="I293" s="317"/>
      <c r="J293" s="71"/>
      <c r="K293" s="71"/>
      <c r="L293" s="71"/>
      <c r="M293" s="71"/>
      <c r="O293" s="71"/>
      <c r="P293" s="71"/>
      <c r="Q293" s="71"/>
      <c r="R293" s="71"/>
      <c r="S293" s="71"/>
      <c r="T293" s="71"/>
      <c r="U293" s="71"/>
      <c r="V293" s="71"/>
      <c r="W293" s="71"/>
      <c r="X293" s="125"/>
      <c r="AB293" s="71"/>
      <c r="AC293" s="71"/>
      <c r="AD293" s="71"/>
      <c r="AE293" s="125"/>
      <c r="AF293" s="71"/>
      <c r="AG293" s="71"/>
      <c r="AH293" s="71"/>
      <c r="AI293" s="218"/>
      <c r="AJ293" s="211"/>
      <c r="AK293" s="211"/>
      <c r="AL293" s="211"/>
      <c r="AP293" s="211"/>
      <c r="AQ293" s="211"/>
      <c r="AR293" s="211"/>
      <c r="AT293" s="211"/>
      <c r="AU293"/>
      <c r="AV293"/>
      <c r="AW293" s="211"/>
    </row>
    <row r="294" spans="2:49" x14ac:dyDescent="0.25">
      <c r="B294" s="450"/>
      <c r="C294" s="71"/>
      <c r="D294" s="71"/>
      <c r="E294" s="71"/>
      <c r="F294" s="317"/>
      <c r="G294" s="317"/>
      <c r="H294" s="317"/>
      <c r="I294" s="317"/>
      <c r="J294" s="71"/>
      <c r="K294" s="71"/>
      <c r="L294" s="71"/>
      <c r="M294" s="71"/>
      <c r="O294" s="71"/>
      <c r="P294" s="71"/>
      <c r="Q294" s="71"/>
      <c r="R294" s="71"/>
      <c r="S294" s="71"/>
      <c r="T294" s="71"/>
      <c r="U294" s="71"/>
      <c r="V294" s="71"/>
      <c r="W294" s="71"/>
      <c r="X294" s="125"/>
      <c r="AB294" s="71"/>
      <c r="AC294" s="71"/>
      <c r="AD294" s="71"/>
      <c r="AE294" s="125"/>
      <c r="AF294" s="71"/>
      <c r="AG294" s="71"/>
      <c r="AH294" s="71"/>
      <c r="AI294" s="218"/>
      <c r="AJ294" s="211"/>
      <c r="AK294" s="211"/>
      <c r="AL294" s="211"/>
      <c r="AP294" s="211"/>
      <c r="AQ294" s="211"/>
      <c r="AR294" s="211"/>
      <c r="AT294" s="211"/>
      <c r="AU294"/>
      <c r="AV294"/>
      <c r="AW294" s="211"/>
    </row>
    <row r="295" spans="2:49" x14ac:dyDescent="0.25">
      <c r="B295" s="450"/>
      <c r="C295" s="71"/>
      <c r="D295" s="71"/>
      <c r="E295" s="71"/>
      <c r="F295" s="317"/>
      <c r="G295" s="317"/>
      <c r="H295" s="317"/>
      <c r="I295" s="317"/>
      <c r="J295" s="71"/>
      <c r="K295" s="71"/>
      <c r="L295" s="71"/>
      <c r="M295" s="71"/>
      <c r="O295" s="71"/>
      <c r="P295" s="71"/>
      <c r="Q295" s="71"/>
      <c r="R295" s="71"/>
      <c r="S295" s="71"/>
      <c r="T295" s="71"/>
      <c r="U295" s="71"/>
      <c r="V295" s="71"/>
      <c r="W295" s="71"/>
      <c r="X295" s="125"/>
      <c r="AB295" s="71"/>
      <c r="AC295" s="71"/>
      <c r="AD295" s="71"/>
      <c r="AE295" s="125"/>
      <c r="AF295" s="71"/>
      <c r="AG295" s="71"/>
      <c r="AH295" s="71"/>
      <c r="AI295" s="218"/>
      <c r="AJ295" s="211"/>
      <c r="AK295" s="211"/>
      <c r="AL295" s="211"/>
      <c r="AP295" s="211"/>
      <c r="AQ295" s="211"/>
      <c r="AR295" s="211"/>
      <c r="AT295" s="211"/>
      <c r="AU295"/>
      <c r="AV295"/>
      <c r="AW295" s="211"/>
    </row>
    <row r="296" spans="2:49" x14ac:dyDescent="0.25">
      <c r="B296" s="450"/>
      <c r="C296" s="71"/>
      <c r="D296" s="71"/>
      <c r="E296" s="71"/>
      <c r="F296" s="317"/>
      <c r="G296" s="317"/>
      <c r="H296" s="317"/>
      <c r="I296" s="317"/>
      <c r="J296" s="71"/>
      <c r="K296" s="71"/>
      <c r="L296" s="71"/>
      <c r="M296" s="71"/>
      <c r="O296" s="71"/>
      <c r="P296" s="71"/>
      <c r="Q296" s="71"/>
      <c r="R296" s="71"/>
      <c r="S296" s="71"/>
      <c r="T296" s="71"/>
      <c r="U296" s="71"/>
      <c r="V296" s="71"/>
      <c r="W296" s="71"/>
      <c r="X296" s="125"/>
      <c r="AB296" s="71"/>
      <c r="AC296" s="71"/>
      <c r="AD296" s="71"/>
      <c r="AE296" s="125"/>
      <c r="AF296" s="71"/>
      <c r="AG296" s="71"/>
      <c r="AH296" s="71"/>
      <c r="AI296" s="218"/>
      <c r="AJ296" s="211"/>
      <c r="AK296" s="211"/>
      <c r="AL296" s="211"/>
      <c r="AP296" s="211"/>
      <c r="AQ296" s="211"/>
      <c r="AR296" s="211"/>
      <c r="AT296" s="211"/>
      <c r="AU296"/>
      <c r="AV296"/>
      <c r="AW296" s="211"/>
    </row>
    <row r="297" spans="2:49" x14ac:dyDescent="0.25">
      <c r="B297" s="450"/>
      <c r="C297" s="71"/>
      <c r="D297" s="71"/>
      <c r="E297" s="71"/>
      <c r="F297" s="317"/>
      <c r="G297" s="317"/>
      <c r="H297" s="317"/>
      <c r="I297" s="317"/>
      <c r="J297" s="71"/>
      <c r="K297" s="71"/>
      <c r="L297" s="71"/>
      <c r="M297" s="71"/>
      <c r="O297" s="71"/>
      <c r="P297" s="71"/>
      <c r="Q297" s="71"/>
      <c r="R297" s="71"/>
      <c r="S297" s="71"/>
      <c r="T297" s="71"/>
      <c r="U297" s="71"/>
      <c r="V297" s="71"/>
      <c r="W297" s="71"/>
      <c r="X297" s="125"/>
      <c r="AB297" s="71"/>
      <c r="AC297" s="71"/>
      <c r="AD297" s="71"/>
      <c r="AE297" s="125"/>
      <c r="AF297" s="71"/>
      <c r="AG297" s="71"/>
      <c r="AH297" s="71"/>
      <c r="AI297" s="218"/>
      <c r="AJ297" s="211"/>
      <c r="AK297" s="211"/>
      <c r="AL297" s="211"/>
      <c r="AP297" s="211"/>
      <c r="AQ297" s="211"/>
      <c r="AR297" s="211"/>
      <c r="AT297" s="211"/>
      <c r="AU297"/>
      <c r="AV297"/>
      <c r="AW297" s="211"/>
    </row>
    <row r="298" spans="2:49" x14ac:dyDescent="0.25">
      <c r="B298" s="450"/>
      <c r="C298" s="71"/>
      <c r="D298" s="71"/>
      <c r="E298" s="71"/>
      <c r="F298" s="317"/>
      <c r="G298" s="317"/>
      <c r="H298" s="317"/>
      <c r="I298" s="317"/>
      <c r="J298" s="71"/>
      <c r="K298" s="71"/>
      <c r="L298" s="71"/>
      <c r="M298" s="71"/>
      <c r="O298" s="71"/>
      <c r="P298" s="71"/>
      <c r="Q298" s="71"/>
      <c r="R298" s="71"/>
      <c r="S298" s="71"/>
      <c r="T298" s="71"/>
      <c r="U298" s="71"/>
      <c r="V298" s="71"/>
      <c r="W298" s="71"/>
      <c r="X298" s="125"/>
      <c r="AB298" s="71"/>
      <c r="AC298" s="71"/>
      <c r="AD298" s="71"/>
      <c r="AE298" s="125"/>
      <c r="AF298" s="71"/>
      <c r="AG298" s="71"/>
      <c r="AH298" s="71"/>
      <c r="AI298" s="218"/>
      <c r="AJ298" s="211"/>
      <c r="AK298" s="211"/>
      <c r="AL298" s="211"/>
      <c r="AP298" s="211"/>
      <c r="AQ298" s="211"/>
      <c r="AR298" s="211"/>
      <c r="AT298" s="211"/>
      <c r="AU298"/>
      <c r="AV298"/>
      <c r="AW298" s="211"/>
    </row>
    <row r="299" spans="2:49" x14ac:dyDescent="0.25">
      <c r="B299" s="450"/>
      <c r="C299" s="71"/>
      <c r="D299" s="71"/>
      <c r="E299" s="71"/>
      <c r="F299" s="317"/>
      <c r="G299" s="317"/>
      <c r="H299" s="317"/>
      <c r="I299" s="317"/>
      <c r="J299" s="71"/>
      <c r="K299" s="71"/>
      <c r="L299" s="71"/>
      <c r="M299" s="71"/>
      <c r="O299" s="71"/>
      <c r="P299" s="71"/>
      <c r="Q299" s="71"/>
      <c r="R299" s="71"/>
      <c r="S299" s="71"/>
      <c r="T299" s="71"/>
      <c r="U299" s="71"/>
      <c r="V299" s="71"/>
      <c r="W299" s="71"/>
      <c r="X299" s="125"/>
      <c r="AB299" s="71"/>
      <c r="AC299" s="71"/>
      <c r="AD299" s="71"/>
      <c r="AE299" s="125"/>
      <c r="AF299" s="71"/>
      <c r="AG299" s="71"/>
      <c r="AH299" s="71"/>
      <c r="AI299" s="218"/>
      <c r="AJ299" s="211"/>
      <c r="AK299" s="211"/>
      <c r="AL299" s="211"/>
      <c r="AP299" s="211"/>
      <c r="AQ299" s="211"/>
      <c r="AR299" s="211"/>
      <c r="AT299" s="211"/>
      <c r="AU299"/>
      <c r="AV299"/>
      <c r="AW299" s="211"/>
    </row>
    <row r="300" spans="2:49" x14ac:dyDescent="0.25">
      <c r="B300" s="450"/>
      <c r="C300" s="71"/>
      <c r="D300" s="71"/>
      <c r="E300" s="71"/>
      <c r="F300" s="317"/>
      <c r="G300" s="317"/>
      <c r="H300" s="317"/>
      <c r="I300" s="317"/>
      <c r="J300" s="71"/>
      <c r="K300" s="71"/>
      <c r="L300" s="71"/>
      <c r="M300" s="71"/>
      <c r="O300" s="71"/>
      <c r="P300" s="71"/>
      <c r="Q300" s="71"/>
      <c r="R300" s="71"/>
      <c r="S300" s="71"/>
      <c r="T300" s="71"/>
      <c r="U300" s="71"/>
      <c r="V300" s="71"/>
      <c r="W300" s="71"/>
      <c r="X300" s="125"/>
      <c r="AB300" s="71"/>
      <c r="AC300" s="71"/>
      <c r="AD300" s="71"/>
      <c r="AE300" s="125"/>
      <c r="AF300" s="71"/>
      <c r="AG300" s="71"/>
      <c r="AH300" s="71"/>
      <c r="AI300" s="218"/>
      <c r="AJ300" s="211"/>
      <c r="AK300" s="211"/>
      <c r="AL300" s="211"/>
      <c r="AP300" s="211"/>
      <c r="AQ300" s="211"/>
      <c r="AR300" s="211"/>
      <c r="AT300" s="211"/>
      <c r="AU300"/>
      <c r="AV300"/>
      <c r="AW300" s="211"/>
    </row>
    <row r="301" spans="2:49" x14ac:dyDescent="0.25">
      <c r="B301" s="450"/>
      <c r="C301" s="71"/>
      <c r="D301" s="71"/>
      <c r="E301" s="71"/>
      <c r="F301" s="317"/>
      <c r="G301" s="317"/>
      <c r="H301" s="317"/>
      <c r="I301" s="317"/>
      <c r="J301" s="71"/>
      <c r="K301" s="71"/>
      <c r="L301" s="71"/>
      <c r="M301" s="71"/>
      <c r="O301" s="71"/>
      <c r="P301" s="71"/>
      <c r="Q301" s="71"/>
      <c r="R301" s="71"/>
      <c r="S301" s="71"/>
      <c r="T301" s="71"/>
      <c r="U301" s="71"/>
      <c r="V301" s="71"/>
      <c r="W301" s="71"/>
      <c r="X301" s="125"/>
      <c r="AB301" s="71"/>
      <c r="AC301" s="71"/>
      <c r="AD301" s="71"/>
      <c r="AE301" s="125"/>
      <c r="AF301" s="71"/>
      <c r="AG301" s="71"/>
      <c r="AH301" s="71"/>
      <c r="AI301" s="218"/>
      <c r="AJ301" s="211"/>
      <c r="AK301" s="211"/>
      <c r="AL301" s="211"/>
      <c r="AP301" s="211"/>
      <c r="AQ301" s="211"/>
      <c r="AR301" s="211"/>
      <c r="AT301" s="211"/>
      <c r="AU301"/>
      <c r="AV301"/>
      <c r="AW301" s="211"/>
    </row>
    <row r="302" spans="2:49" x14ac:dyDescent="0.25">
      <c r="B302" s="450"/>
      <c r="C302" s="71"/>
      <c r="D302" s="71"/>
      <c r="E302" s="71"/>
      <c r="F302" s="317"/>
      <c r="G302" s="317"/>
      <c r="H302" s="317"/>
      <c r="I302" s="317"/>
      <c r="J302" s="71"/>
      <c r="K302" s="71"/>
      <c r="L302" s="71"/>
      <c r="M302" s="71"/>
      <c r="O302" s="71"/>
      <c r="P302" s="71"/>
      <c r="Q302" s="71"/>
      <c r="R302" s="71"/>
      <c r="S302" s="71"/>
      <c r="T302" s="71"/>
      <c r="U302" s="71"/>
      <c r="V302" s="71"/>
      <c r="W302" s="71"/>
      <c r="X302" s="125"/>
      <c r="AB302" s="71"/>
      <c r="AC302" s="71"/>
      <c r="AD302" s="71"/>
      <c r="AE302" s="125"/>
      <c r="AF302" s="71"/>
      <c r="AG302" s="71"/>
      <c r="AH302" s="71"/>
      <c r="AI302" s="218"/>
      <c r="AJ302" s="211"/>
      <c r="AK302" s="211"/>
      <c r="AL302" s="211"/>
      <c r="AP302" s="211"/>
      <c r="AQ302" s="211"/>
      <c r="AR302" s="211"/>
      <c r="AT302" s="211"/>
      <c r="AU302"/>
      <c r="AV302"/>
      <c r="AW302" s="211"/>
    </row>
    <row r="303" spans="2:49" x14ac:dyDescent="0.25">
      <c r="B303" s="450"/>
      <c r="C303" s="71"/>
      <c r="D303" s="71"/>
      <c r="E303" s="71"/>
      <c r="F303" s="317"/>
      <c r="G303" s="317"/>
      <c r="H303" s="317"/>
      <c r="I303" s="317"/>
      <c r="J303" s="71"/>
      <c r="K303" s="71"/>
      <c r="L303" s="71"/>
      <c r="M303" s="71"/>
      <c r="O303" s="71"/>
      <c r="P303" s="71"/>
      <c r="Q303" s="71"/>
      <c r="R303" s="71"/>
      <c r="S303" s="71"/>
      <c r="T303" s="71"/>
      <c r="U303" s="71"/>
      <c r="V303" s="71"/>
      <c r="W303" s="71"/>
      <c r="X303" s="125"/>
      <c r="AB303" s="71"/>
      <c r="AC303" s="71"/>
      <c r="AD303" s="71"/>
      <c r="AE303" s="125"/>
      <c r="AF303" s="71"/>
      <c r="AG303" s="71"/>
      <c r="AH303" s="71"/>
      <c r="AI303" s="218"/>
      <c r="AJ303" s="211"/>
      <c r="AK303" s="211"/>
      <c r="AL303" s="211"/>
      <c r="AP303" s="211"/>
      <c r="AQ303" s="211"/>
      <c r="AR303" s="211"/>
      <c r="AT303" s="211"/>
      <c r="AU303"/>
      <c r="AV303"/>
      <c r="AW303" s="211"/>
    </row>
    <row r="304" spans="2:49" x14ac:dyDescent="0.25">
      <c r="B304" s="450"/>
      <c r="C304" s="71"/>
      <c r="D304" s="71"/>
      <c r="E304" s="71"/>
      <c r="F304" s="317"/>
      <c r="G304" s="317"/>
      <c r="H304" s="317"/>
      <c r="I304" s="317"/>
      <c r="J304" s="71"/>
      <c r="K304" s="71"/>
      <c r="L304" s="71"/>
      <c r="M304" s="71"/>
      <c r="O304" s="71"/>
      <c r="P304" s="71"/>
      <c r="Q304" s="71"/>
      <c r="R304" s="71"/>
      <c r="S304" s="71"/>
      <c r="T304" s="71"/>
      <c r="U304" s="71"/>
      <c r="V304" s="71"/>
      <c r="W304" s="71"/>
      <c r="X304" s="125"/>
      <c r="AB304" s="71"/>
      <c r="AC304" s="71"/>
      <c r="AD304" s="71"/>
      <c r="AE304" s="125"/>
      <c r="AF304" s="71"/>
      <c r="AG304" s="71"/>
      <c r="AH304" s="71"/>
      <c r="AI304" s="218"/>
      <c r="AJ304" s="211"/>
      <c r="AK304" s="211"/>
      <c r="AL304" s="211"/>
      <c r="AP304" s="211"/>
      <c r="AQ304" s="211"/>
      <c r="AR304" s="211"/>
      <c r="AT304" s="211"/>
      <c r="AU304"/>
      <c r="AV304"/>
      <c r="AW304" s="211"/>
    </row>
    <row r="305" spans="2:49" x14ac:dyDescent="0.25">
      <c r="B305" s="450"/>
      <c r="C305" s="71"/>
      <c r="D305" s="71"/>
      <c r="E305" s="71"/>
      <c r="F305" s="317"/>
      <c r="G305" s="317"/>
      <c r="H305" s="317"/>
      <c r="I305" s="317"/>
      <c r="J305" s="71"/>
      <c r="K305" s="71"/>
      <c r="L305" s="71"/>
      <c r="M305" s="71"/>
      <c r="O305" s="71"/>
      <c r="P305" s="71"/>
      <c r="Q305" s="71"/>
      <c r="R305" s="71"/>
      <c r="S305" s="71"/>
      <c r="T305" s="71"/>
      <c r="U305" s="71"/>
      <c r="V305" s="71"/>
      <c r="W305" s="71"/>
      <c r="X305" s="125"/>
      <c r="AB305" s="71"/>
      <c r="AC305" s="71"/>
      <c r="AD305" s="71"/>
      <c r="AE305" s="125"/>
      <c r="AF305" s="71"/>
      <c r="AG305" s="71"/>
      <c r="AH305" s="71"/>
      <c r="AI305" s="218"/>
      <c r="AJ305" s="211"/>
      <c r="AK305" s="211"/>
      <c r="AL305" s="211"/>
      <c r="AP305" s="211"/>
      <c r="AQ305" s="211"/>
      <c r="AR305" s="211"/>
      <c r="AT305" s="211"/>
      <c r="AU305"/>
      <c r="AV305"/>
      <c r="AW305" s="211"/>
    </row>
    <row r="306" spans="2:49" x14ac:dyDescent="0.25">
      <c r="B306" s="450"/>
      <c r="C306" s="71"/>
      <c r="D306" s="71"/>
      <c r="E306" s="71"/>
      <c r="F306" s="317"/>
      <c r="G306" s="317"/>
      <c r="H306" s="317"/>
      <c r="I306" s="317"/>
      <c r="J306" s="71"/>
      <c r="K306" s="71"/>
      <c r="L306" s="71"/>
      <c r="M306" s="71"/>
      <c r="O306" s="71"/>
      <c r="P306" s="71"/>
      <c r="Q306" s="71"/>
      <c r="R306" s="71"/>
      <c r="S306" s="71"/>
      <c r="T306" s="71"/>
      <c r="U306" s="71"/>
      <c r="V306" s="71"/>
      <c r="W306" s="71"/>
      <c r="X306" s="125"/>
      <c r="AB306" s="71"/>
      <c r="AC306" s="71"/>
      <c r="AD306" s="71"/>
      <c r="AE306" s="125"/>
      <c r="AF306" s="71"/>
      <c r="AG306" s="71"/>
      <c r="AH306" s="71"/>
      <c r="AI306" s="218"/>
      <c r="AJ306" s="211"/>
      <c r="AK306" s="211"/>
      <c r="AL306" s="211"/>
      <c r="AP306" s="211"/>
      <c r="AQ306" s="211"/>
      <c r="AR306" s="211"/>
      <c r="AT306" s="211"/>
      <c r="AU306"/>
      <c r="AV306"/>
      <c r="AW306" s="211"/>
    </row>
    <row r="307" spans="2:49" x14ac:dyDescent="0.25">
      <c r="B307" s="450"/>
      <c r="C307" s="71"/>
      <c r="D307" s="71"/>
      <c r="E307" s="71"/>
      <c r="F307" s="317"/>
      <c r="G307" s="317"/>
      <c r="H307" s="317"/>
      <c r="I307" s="317"/>
      <c r="J307" s="71"/>
      <c r="K307" s="71"/>
      <c r="L307" s="71"/>
      <c r="M307" s="71"/>
      <c r="O307" s="71"/>
      <c r="P307" s="71"/>
      <c r="Q307" s="71"/>
      <c r="R307" s="71"/>
      <c r="S307" s="71"/>
      <c r="T307" s="71"/>
      <c r="U307" s="71"/>
      <c r="V307" s="71"/>
      <c r="W307" s="71"/>
      <c r="X307" s="125"/>
      <c r="AB307" s="71"/>
      <c r="AC307" s="71"/>
      <c r="AD307" s="71"/>
      <c r="AE307" s="125"/>
      <c r="AF307" s="71"/>
      <c r="AG307" s="71"/>
      <c r="AH307" s="71"/>
      <c r="AI307" s="218"/>
      <c r="AJ307" s="211"/>
      <c r="AK307" s="211"/>
      <c r="AL307" s="211"/>
      <c r="AP307" s="211"/>
      <c r="AQ307" s="211"/>
      <c r="AR307" s="211"/>
      <c r="AT307" s="211"/>
      <c r="AU307"/>
      <c r="AV307"/>
      <c r="AW307" s="211"/>
    </row>
    <row r="308" spans="2:49" x14ac:dyDescent="0.25">
      <c r="B308" s="450"/>
      <c r="C308" s="71"/>
      <c r="D308" s="71"/>
      <c r="E308" s="71"/>
      <c r="F308" s="317"/>
      <c r="G308" s="317"/>
      <c r="H308" s="317"/>
      <c r="I308" s="317"/>
      <c r="J308" s="71"/>
      <c r="K308" s="71"/>
      <c r="L308" s="71"/>
      <c r="M308" s="71"/>
      <c r="O308" s="71"/>
      <c r="P308" s="71"/>
      <c r="Q308" s="71"/>
      <c r="R308" s="71"/>
      <c r="S308" s="71"/>
      <c r="T308" s="71"/>
      <c r="U308" s="71"/>
      <c r="V308" s="71"/>
      <c r="W308" s="71"/>
      <c r="X308" s="125"/>
      <c r="AB308" s="71"/>
      <c r="AC308" s="71"/>
      <c r="AD308" s="71"/>
      <c r="AE308" s="125"/>
      <c r="AF308" s="71"/>
      <c r="AG308" s="71"/>
      <c r="AH308" s="71"/>
      <c r="AI308" s="218"/>
      <c r="AJ308" s="211"/>
      <c r="AK308" s="211"/>
      <c r="AL308" s="211"/>
      <c r="AP308" s="211"/>
      <c r="AQ308" s="211"/>
      <c r="AR308" s="211"/>
      <c r="AT308" s="211"/>
      <c r="AU308"/>
      <c r="AV308"/>
      <c r="AW308" s="211"/>
    </row>
    <row r="309" spans="2:49" x14ac:dyDescent="0.25">
      <c r="B309" s="450"/>
      <c r="C309" s="71"/>
      <c r="D309" s="71"/>
      <c r="E309" s="71"/>
      <c r="F309" s="317"/>
      <c r="G309" s="317"/>
      <c r="H309" s="317"/>
      <c r="I309" s="317"/>
      <c r="J309" s="71"/>
      <c r="K309" s="71"/>
      <c r="L309" s="71"/>
      <c r="M309" s="71"/>
      <c r="O309" s="71"/>
      <c r="P309" s="71"/>
      <c r="Q309" s="71"/>
      <c r="R309" s="71"/>
      <c r="S309" s="71"/>
      <c r="T309" s="71"/>
      <c r="U309" s="71"/>
      <c r="V309" s="71"/>
      <c r="W309" s="71"/>
      <c r="X309" s="125"/>
      <c r="AB309" s="71"/>
      <c r="AC309" s="71"/>
      <c r="AD309" s="71"/>
      <c r="AE309" s="125"/>
      <c r="AF309" s="71"/>
      <c r="AG309" s="71"/>
      <c r="AH309" s="71"/>
      <c r="AI309" s="218"/>
      <c r="AJ309" s="211"/>
      <c r="AK309" s="211"/>
      <c r="AL309" s="211"/>
      <c r="AP309" s="211"/>
      <c r="AQ309" s="211"/>
      <c r="AR309" s="211"/>
      <c r="AT309" s="211"/>
      <c r="AU309"/>
      <c r="AV309"/>
      <c r="AW309" s="211"/>
    </row>
    <row r="310" spans="2:49" x14ac:dyDescent="0.25">
      <c r="B310" s="450"/>
      <c r="C310" s="71"/>
      <c r="D310" s="71"/>
      <c r="E310" s="71"/>
      <c r="F310" s="317"/>
      <c r="G310" s="317"/>
      <c r="H310" s="317"/>
      <c r="I310" s="317"/>
      <c r="J310" s="71"/>
      <c r="K310" s="71"/>
      <c r="L310" s="71"/>
      <c r="M310" s="71"/>
      <c r="O310" s="71"/>
      <c r="P310" s="71"/>
      <c r="Q310" s="71"/>
      <c r="R310" s="71"/>
      <c r="S310" s="71"/>
      <c r="T310" s="71"/>
      <c r="U310" s="71"/>
      <c r="V310" s="71"/>
      <c r="W310" s="71"/>
      <c r="X310" s="125"/>
      <c r="AB310" s="71"/>
      <c r="AC310" s="71"/>
      <c r="AD310" s="71"/>
      <c r="AE310" s="125"/>
      <c r="AF310" s="71"/>
      <c r="AG310" s="71"/>
      <c r="AH310" s="71"/>
      <c r="AI310" s="218"/>
      <c r="AJ310" s="211"/>
      <c r="AK310" s="211"/>
      <c r="AL310" s="211"/>
      <c r="AP310" s="211"/>
      <c r="AQ310" s="211"/>
      <c r="AR310" s="211"/>
      <c r="AT310" s="211"/>
      <c r="AU310"/>
      <c r="AV310"/>
      <c r="AW310" s="211"/>
    </row>
    <row r="311" spans="2:49" x14ac:dyDescent="0.25">
      <c r="B311" s="450"/>
      <c r="C311" s="71"/>
      <c r="D311" s="71"/>
      <c r="E311" s="71"/>
      <c r="F311" s="317"/>
      <c r="G311" s="317"/>
      <c r="H311" s="317"/>
      <c r="I311" s="317"/>
      <c r="J311" s="71"/>
      <c r="K311" s="71"/>
      <c r="L311" s="71"/>
      <c r="M311" s="71"/>
      <c r="O311" s="71"/>
      <c r="P311" s="71"/>
      <c r="Q311" s="71"/>
      <c r="R311" s="71"/>
      <c r="S311" s="71"/>
      <c r="T311" s="71"/>
      <c r="U311" s="71"/>
      <c r="V311" s="71"/>
      <c r="W311" s="71"/>
      <c r="X311" s="125"/>
      <c r="AB311" s="71"/>
      <c r="AC311" s="71"/>
      <c r="AD311" s="71"/>
      <c r="AE311" s="125"/>
      <c r="AF311" s="71"/>
      <c r="AG311" s="71"/>
      <c r="AH311" s="71"/>
      <c r="AI311" s="218"/>
      <c r="AJ311" s="211"/>
      <c r="AK311" s="211"/>
      <c r="AL311" s="211"/>
      <c r="AP311" s="211"/>
      <c r="AQ311" s="211"/>
      <c r="AR311" s="211"/>
      <c r="AT311" s="211"/>
      <c r="AU311"/>
      <c r="AV311"/>
      <c r="AW311" s="211"/>
    </row>
    <row r="312" spans="2:49" x14ac:dyDescent="0.25">
      <c r="B312" s="450"/>
      <c r="C312" s="71"/>
      <c r="D312" s="71"/>
      <c r="E312" s="71"/>
      <c r="F312" s="317"/>
      <c r="G312" s="317"/>
      <c r="H312" s="317"/>
      <c r="I312" s="317"/>
      <c r="J312" s="71"/>
      <c r="K312" s="71"/>
      <c r="L312" s="71"/>
      <c r="M312" s="71"/>
      <c r="O312" s="71"/>
      <c r="P312" s="71"/>
      <c r="Q312" s="71"/>
      <c r="R312" s="71"/>
      <c r="S312" s="71"/>
      <c r="T312" s="71"/>
      <c r="U312" s="71"/>
      <c r="V312" s="71"/>
      <c r="W312" s="71"/>
      <c r="X312" s="125"/>
      <c r="AB312" s="71"/>
      <c r="AC312" s="71"/>
      <c r="AD312" s="71"/>
      <c r="AE312" s="125"/>
      <c r="AF312" s="71"/>
      <c r="AG312" s="71"/>
      <c r="AH312" s="71"/>
      <c r="AI312" s="218"/>
      <c r="AJ312" s="211"/>
      <c r="AK312" s="211"/>
      <c r="AL312" s="211"/>
      <c r="AP312" s="211"/>
      <c r="AQ312" s="211"/>
      <c r="AR312" s="211"/>
      <c r="AT312" s="211"/>
      <c r="AU312"/>
      <c r="AV312"/>
      <c r="AW312" s="211"/>
    </row>
    <row r="313" spans="2:49" x14ac:dyDescent="0.25">
      <c r="B313" s="450"/>
      <c r="C313" s="71"/>
      <c r="D313" s="71"/>
      <c r="E313" s="71"/>
      <c r="F313" s="317"/>
      <c r="G313" s="317"/>
      <c r="H313" s="317"/>
      <c r="I313" s="317"/>
      <c r="J313" s="71"/>
      <c r="K313" s="71"/>
      <c r="L313" s="71"/>
      <c r="M313" s="71"/>
      <c r="O313" s="71"/>
      <c r="P313" s="71"/>
      <c r="Q313" s="71"/>
      <c r="R313" s="71"/>
      <c r="S313" s="71"/>
      <c r="T313" s="71"/>
      <c r="U313" s="71"/>
      <c r="V313" s="71"/>
      <c r="W313" s="71"/>
      <c r="X313" s="125"/>
      <c r="AB313" s="71"/>
      <c r="AC313" s="71"/>
      <c r="AD313" s="71"/>
      <c r="AE313" s="125"/>
      <c r="AF313" s="71"/>
      <c r="AG313" s="71"/>
      <c r="AH313" s="71"/>
      <c r="AI313" s="218"/>
      <c r="AJ313" s="211"/>
      <c r="AK313" s="211"/>
      <c r="AL313" s="211"/>
      <c r="AP313" s="211"/>
      <c r="AQ313" s="211"/>
      <c r="AR313" s="211"/>
      <c r="AT313" s="211"/>
      <c r="AU313"/>
      <c r="AV313"/>
      <c r="AW313" s="211"/>
    </row>
    <row r="314" spans="2:49" x14ac:dyDescent="0.25">
      <c r="B314" s="450"/>
      <c r="C314" s="71"/>
      <c r="D314" s="71"/>
      <c r="E314" s="71"/>
      <c r="F314" s="317"/>
      <c r="G314" s="317"/>
      <c r="H314" s="317"/>
      <c r="I314" s="317"/>
      <c r="J314" s="71"/>
      <c r="K314" s="71"/>
      <c r="L314" s="71"/>
      <c r="M314" s="71"/>
      <c r="O314" s="71"/>
      <c r="P314" s="71"/>
      <c r="Q314" s="71"/>
      <c r="R314" s="71"/>
      <c r="S314" s="71"/>
      <c r="T314" s="71"/>
      <c r="U314" s="71"/>
      <c r="V314" s="71"/>
      <c r="W314" s="71"/>
      <c r="X314" s="125"/>
      <c r="AB314" s="71"/>
      <c r="AC314" s="71"/>
      <c r="AD314" s="71"/>
      <c r="AE314" s="125"/>
      <c r="AF314" s="71"/>
      <c r="AG314" s="71"/>
      <c r="AH314" s="71"/>
      <c r="AI314" s="218"/>
      <c r="AJ314" s="211"/>
      <c r="AK314" s="211"/>
      <c r="AL314" s="211"/>
      <c r="AP314" s="211"/>
      <c r="AQ314" s="211"/>
      <c r="AR314" s="211"/>
      <c r="AT314" s="211"/>
      <c r="AU314"/>
      <c r="AV314"/>
      <c r="AW314" s="211"/>
    </row>
    <row r="315" spans="2:49" x14ac:dyDescent="0.25">
      <c r="B315" s="450"/>
      <c r="C315" s="71"/>
      <c r="D315" s="71"/>
      <c r="E315" s="71"/>
      <c r="F315" s="317"/>
      <c r="G315" s="317"/>
      <c r="H315" s="317"/>
      <c r="I315" s="317"/>
      <c r="J315" s="71"/>
      <c r="K315" s="71"/>
      <c r="L315" s="71"/>
      <c r="M315" s="71"/>
      <c r="O315" s="71"/>
      <c r="P315" s="71"/>
      <c r="Q315" s="71"/>
      <c r="R315" s="71"/>
      <c r="S315" s="71"/>
      <c r="T315" s="71"/>
      <c r="U315" s="71"/>
      <c r="V315" s="71"/>
      <c r="W315" s="71"/>
      <c r="X315" s="125"/>
      <c r="AB315" s="71"/>
      <c r="AC315" s="71"/>
      <c r="AD315" s="71"/>
      <c r="AE315" s="125"/>
      <c r="AF315" s="71"/>
      <c r="AG315" s="71"/>
      <c r="AH315" s="71"/>
      <c r="AI315" s="218"/>
      <c r="AJ315" s="211"/>
      <c r="AK315" s="211"/>
      <c r="AL315" s="211"/>
      <c r="AP315" s="211"/>
      <c r="AQ315" s="211"/>
      <c r="AR315" s="211"/>
      <c r="AT315" s="211"/>
      <c r="AU315"/>
      <c r="AV315"/>
      <c r="AW315" s="211"/>
    </row>
    <row r="316" spans="2:49" x14ac:dyDescent="0.25">
      <c r="B316" s="450"/>
      <c r="C316" s="71"/>
      <c r="D316" s="71"/>
      <c r="E316" s="71"/>
      <c r="F316" s="317"/>
      <c r="G316" s="317"/>
      <c r="H316" s="317"/>
      <c r="I316" s="317"/>
      <c r="J316" s="71"/>
      <c r="K316" s="71"/>
      <c r="L316" s="71"/>
      <c r="M316" s="71"/>
      <c r="O316" s="71"/>
      <c r="P316" s="71"/>
      <c r="Q316" s="71"/>
      <c r="R316" s="71"/>
      <c r="S316" s="71"/>
      <c r="T316" s="71"/>
      <c r="U316" s="71"/>
      <c r="V316" s="71"/>
      <c r="W316" s="71"/>
      <c r="X316" s="125"/>
      <c r="AB316" s="71"/>
      <c r="AC316" s="71"/>
      <c r="AD316" s="71"/>
      <c r="AE316" s="125"/>
      <c r="AF316" s="71"/>
      <c r="AG316" s="71"/>
      <c r="AH316" s="71"/>
      <c r="AI316" s="218"/>
      <c r="AJ316" s="211"/>
      <c r="AK316" s="211"/>
      <c r="AL316" s="211"/>
      <c r="AP316" s="211"/>
      <c r="AQ316" s="211"/>
      <c r="AR316" s="211"/>
      <c r="AT316" s="211"/>
      <c r="AU316"/>
      <c r="AV316"/>
      <c r="AW316" s="211"/>
    </row>
    <row r="317" spans="2:49" x14ac:dyDescent="0.25">
      <c r="B317" s="450"/>
      <c r="C317" s="71"/>
      <c r="D317" s="71"/>
      <c r="E317" s="71"/>
      <c r="F317" s="317"/>
      <c r="G317" s="317"/>
      <c r="H317" s="317"/>
      <c r="I317" s="317"/>
      <c r="J317" s="71"/>
      <c r="K317" s="71"/>
      <c r="L317" s="71"/>
      <c r="M317" s="71"/>
      <c r="O317" s="71"/>
      <c r="P317" s="71"/>
      <c r="Q317" s="71"/>
      <c r="R317" s="71"/>
      <c r="S317" s="71"/>
      <c r="T317" s="71"/>
      <c r="U317" s="71"/>
      <c r="V317" s="71"/>
      <c r="W317" s="71"/>
      <c r="X317" s="125"/>
      <c r="AB317" s="71"/>
      <c r="AC317" s="71"/>
      <c r="AD317" s="71"/>
      <c r="AE317" s="125"/>
      <c r="AF317" s="71"/>
      <c r="AG317" s="71"/>
      <c r="AH317" s="71"/>
      <c r="AI317" s="218"/>
      <c r="AJ317" s="211"/>
      <c r="AK317" s="211"/>
      <c r="AL317" s="211"/>
      <c r="AP317" s="211"/>
      <c r="AQ317" s="211"/>
      <c r="AR317" s="211"/>
      <c r="AT317" s="211"/>
      <c r="AU317"/>
      <c r="AV317"/>
      <c r="AW317" s="211"/>
    </row>
    <row r="318" spans="2:49" x14ac:dyDescent="0.25">
      <c r="B318" s="450"/>
      <c r="C318" s="71"/>
      <c r="D318" s="71"/>
      <c r="E318" s="71"/>
      <c r="F318" s="317"/>
      <c r="G318" s="317"/>
      <c r="H318" s="317"/>
      <c r="I318" s="317"/>
      <c r="J318" s="71"/>
      <c r="K318" s="71"/>
      <c r="L318" s="71"/>
      <c r="M318" s="71"/>
      <c r="O318" s="71"/>
      <c r="P318" s="71"/>
      <c r="Q318" s="71"/>
      <c r="R318" s="71"/>
      <c r="S318" s="71"/>
      <c r="T318" s="71"/>
      <c r="U318" s="71"/>
      <c r="V318" s="71"/>
      <c r="W318" s="71"/>
      <c r="X318" s="125"/>
      <c r="AB318" s="71"/>
      <c r="AC318" s="71"/>
      <c r="AD318" s="71"/>
      <c r="AE318" s="125"/>
      <c r="AF318" s="71"/>
      <c r="AG318" s="71"/>
      <c r="AH318" s="71"/>
      <c r="AI318" s="218"/>
      <c r="AJ318" s="211"/>
      <c r="AK318" s="211"/>
      <c r="AL318" s="211"/>
      <c r="AP318" s="211"/>
      <c r="AQ318" s="211"/>
      <c r="AR318" s="211"/>
      <c r="AT318" s="211"/>
      <c r="AU318"/>
      <c r="AV318"/>
      <c r="AW318" s="211"/>
    </row>
    <row r="319" spans="2:49" x14ac:dyDescent="0.25">
      <c r="B319" s="450"/>
      <c r="C319" s="71"/>
      <c r="D319" s="71"/>
      <c r="E319" s="71"/>
      <c r="F319" s="317"/>
      <c r="G319" s="317"/>
      <c r="H319" s="317"/>
      <c r="I319" s="317"/>
      <c r="J319" s="71"/>
      <c r="K319" s="71"/>
      <c r="L319" s="71"/>
      <c r="M319" s="71"/>
      <c r="O319" s="71"/>
      <c r="P319" s="71"/>
      <c r="Q319" s="71"/>
      <c r="R319" s="71"/>
      <c r="S319" s="71"/>
      <c r="T319" s="71"/>
      <c r="U319" s="71"/>
      <c r="V319" s="71"/>
      <c r="W319" s="71"/>
      <c r="X319" s="125"/>
      <c r="AB319" s="71"/>
      <c r="AC319" s="71"/>
      <c r="AD319" s="71"/>
      <c r="AE319" s="125"/>
      <c r="AF319" s="71"/>
      <c r="AG319" s="71"/>
      <c r="AH319" s="71"/>
      <c r="AI319" s="218"/>
      <c r="AJ319" s="211"/>
      <c r="AK319" s="211"/>
      <c r="AL319" s="211"/>
      <c r="AP319" s="211"/>
      <c r="AQ319" s="211"/>
      <c r="AR319" s="211"/>
      <c r="AT319" s="211"/>
      <c r="AU319"/>
      <c r="AV319"/>
      <c r="AW319" s="211"/>
    </row>
    <row r="320" spans="2:49" x14ac:dyDescent="0.25">
      <c r="B320" s="450"/>
      <c r="C320" s="71"/>
      <c r="D320" s="71"/>
      <c r="E320" s="71"/>
      <c r="F320" s="317"/>
      <c r="G320" s="317"/>
      <c r="H320" s="317"/>
      <c r="I320" s="317"/>
      <c r="J320" s="71"/>
      <c r="K320" s="71"/>
      <c r="L320" s="71"/>
      <c r="M320" s="71"/>
      <c r="O320" s="71"/>
      <c r="P320" s="71"/>
      <c r="Q320" s="71"/>
      <c r="R320" s="71"/>
      <c r="S320" s="71"/>
      <c r="T320" s="71"/>
      <c r="U320" s="71"/>
      <c r="V320" s="71"/>
      <c r="W320" s="71"/>
      <c r="X320" s="125"/>
      <c r="AB320" s="71"/>
      <c r="AC320" s="71"/>
      <c r="AD320" s="71"/>
      <c r="AE320" s="125"/>
      <c r="AF320" s="71"/>
      <c r="AG320" s="71"/>
      <c r="AH320" s="71"/>
      <c r="AI320" s="218"/>
      <c r="AJ320" s="211"/>
      <c r="AK320" s="211"/>
      <c r="AL320" s="211"/>
      <c r="AP320" s="211"/>
      <c r="AQ320" s="211"/>
      <c r="AR320" s="211"/>
      <c r="AT320" s="211"/>
      <c r="AU320"/>
      <c r="AV320"/>
      <c r="AW320" s="211"/>
    </row>
    <row r="321" spans="2:49" x14ac:dyDescent="0.25">
      <c r="B321" s="450"/>
      <c r="C321" s="71"/>
      <c r="D321" s="71"/>
      <c r="E321" s="71"/>
      <c r="F321" s="317"/>
      <c r="G321" s="317"/>
      <c r="H321" s="317"/>
      <c r="I321" s="317"/>
      <c r="J321" s="71"/>
      <c r="K321" s="71"/>
      <c r="L321" s="71"/>
      <c r="M321" s="71"/>
      <c r="O321" s="71"/>
      <c r="P321" s="71"/>
      <c r="Q321" s="71"/>
      <c r="R321" s="71"/>
      <c r="S321" s="71"/>
      <c r="T321" s="71"/>
      <c r="U321" s="71"/>
      <c r="V321" s="71"/>
      <c r="W321" s="71"/>
      <c r="X321" s="125"/>
      <c r="AB321" s="71"/>
      <c r="AC321" s="71"/>
      <c r="AD321" s="71"/>
      <c r="AE321" s="125"/>
      <c r="AF321" s="71"/>
      <c r="AG321" s="71"/>
      <c r="AH321" s="71"/>
      <c r="AI321" s="218"/>
      <c r="AJ321" s="211"/>
      <c r="AK321" s="211"/>
      <c r="AL321" s="211"/>
      <c r="AP321" s="211"/>
      <c r="AQ321" s="211"/>
      <c r="AR321" s="211"/>
      <c r="AT321" s="211"/>
      <c r="AU321"/>
      <c r="AV321"/>
      <c r="AW321" s="211"/>
    </row>
    <row r="322" spans="2:49" x14ac:dyDescent="0.25">
      <c r="B322" s="450"/>
      <c r="C322" s="71"/>
      <c r="D322" s="71"/>
      <c r="E322" s="71"/>
      <c r="F322" s="317"/>
      <c r="G322" s="317"/>
      <c r="H322" s="317"/>
      <c r="I322" s="317"/>
      <c r="J322" s="71"/>
      <c r="K322" s="71"/>
      <c r="L322" s="71"/>
      <c r="M322" s="71"/>
      <c r="O322" s="71"/>
      <c r="P322" s="71"/>
      <c r="Q322" s="71"/>
      <c r="R322" s="71"/>
      <c r="S322" s="71"/>
      <c r="T322" s="71"/>
      <c r="U322" s="71"/>
      <c r="V322" s="71"/>
      <c r="W322" s="71"/>
      <c r="X322" s="125"/>
      <c r="AB322" s="71"/>
      <c r="AC322" s="71"/>
      <c r="AD322" s="71"/>
      <c r="AE322" s="125"/>
      <c r="AF322" s="71"/>
      <c r="AG322" s="71"/>
      <c r="AH322" s="71"/>
      <c r="AI322" s="218"/>
      <c r="AJ322" s="211"/>
      <c r="AK322" s="211"/>
      <c r="AL322" s="211"/>
      <c r="AP322" s="211"/>
      <c r="AQ322" s="211"/>
      <c r="AR322" s="211"/>
      <c r="AT322" s="211"/>
      <c r="AU322"/>
      <c r="AV322"/>
      <c r="AW322" s="211"/>
    </row>
    <row r="323" spans="2:49" x14ac:dyDescent="0.25">
      <c r="B323" s="450"/>
      <c r="C323" s="71"/>
      <c r="D323" s="71"/>
      <c r="E323" s="71"/>
      <c r="F323" s="317"/>
      <c r="G323" s="317"/>
      <c r="H323" s="317"/>
      <c r="I323" s="317"/>
      <c r="J323" s="71"/>
      <c r="K323" s="71"/>
      <c r="L323" s="71"/>
      <c r="M323" s="71"/>
      <c r="O323" s="71"/>
      <c r="P323" s="71"/>
      <c r="Q323" s="71"/>
      <c r="R323" s="71"/>
      <c r="S323" s="71"/>
      <c r="T323" s="71"/>
      <c r="U323" s="71"/>
      <c r="V323" s="71"/>
      <c r="W323" s="71"/>
      <c r="X323" s="125"/>
      <c r="AB323" s="71"/>
      <c r="AC323" s="71"/>
      <c r="AD323" s="71"/>
      <c r="AE323" s="125"/>
      <c r="AF323" s="71"/>
      <c r="AG323" s="71"/>
      <c r="AH323" s="71"/>
      <c r="AI323" s="218"/>
      <c r="AJ323" s="211"/>
      <c r="AK323" s="211"/>
      <c r="AL323" s="211"/>
      <c r="AP323" s="211"/>
      <c r="AQ323" s="211"/>
      <c r="AR323" s="211"/>
      <c r="AT323" s="211"/>
      <c r="AU323"/>
      <c r="AV323"/>
      <c r="AW323" s="211"/>
    </row>
    <row r="324" spans="2:49" x14ac:dyDescent="0.25">
      <c r="B324" s="450"/>
      <c r="C324" s="71"/>
      <c r="D324" s="71"/>
      <c r="E324" s="71"/>
      <c r="F324" s="317"/>
      <c r="G324" s="317"/>
      <c r="H324" s="317"/>
      <c r="I324" s="317"/>
      <c r="J324" s="71"/>
      <c r="K324" s="71"/>
      <c r="L324" s="71"/>
      <c r="M324" s="71"/>
      <c r="O324" s="71"/>
      <c r="P324" s="71"/>
      <c r="Q324" s="71"/>
      <c r="R324" s="71"/>
      <c r="S324" s="71"/>
      <c r="T324" s="71"/>
      <c r="U324" s="71"/>
      <c r="V324" s="71"/>
      <c r="W324" s="71"/>
      <c r="X324" s="125"/>
      <c r="AB324" s="71"/>
      <c r="AC324" s="71"/>
      <c r="AD324" s="71"/>
      <c r="AE324" s="125"/>
      <c r="AF324" s="71"/>
      <c r="AG324" s="71"/>
      <c r="AH324" s="71"/>
      <c r="AI324" s="218"/>
      <c r="AJ324" s="211"/>
      <c r="AK324" s="211"/>
      <c r="AL324" s="211"/>
      <c r="AP324" s="211"/>
      <c r="AQ324" s="211"/>
      <c r="AR324" s="211"/>
      <c r="AT324" s="211"/>
      <c r="AU324"/>
      <c r="AV324"/>
      <c r="AW324" s="211"/>
    </row>
    <row r="325" spans="2:49" x14ac:dyDescent="0.25">
      <c r="B325" s="450"/>
      <c r="C325" s="71"/>
      <c r="D325" s="71"/>
      <c r="E325" s="71"/>
      <c r="F325" s="317"/>
      <c r="G325" s="317"/>
      <c r="H325" s="317"/>
      <c r="I325" s="317"/>
      <c r="J325" s="71"/>
      <c r="K325" s="71"/>
      <c r="L325" s="71"/>
      <c r="M325" s="71"/>
      <c r="O325" s="71"/>
      <c r="P325" s="71"/>
      <c r="Q325" s="71"/>
      <c r="R325" s="71"/>
      <c r="S325" s="71"/>
      <c r="T325" s="71"/>
      <c r="U325" s="71"/>
      <c r="V325" s="71"/>
      <c r="W325" s="71"/>
      <c r="X325" s="125"/>
      <c r="AB325" s="71"/>
      <c r="AC325" s="71"/>
      <c r="AD325" s="71"/>
      <c r="AE325" s="125"/>
      <c r="AF325" s="71"/>
      <c r="AG325" s="71"/>
      <c r="AH325" s="71"/>
      <c r="AI325" s="218"/>
      <c r="AJ325" s="211"/>
      <c r="AK325" s="211"/>
      <c r="AL325" s="211"/>
      <c r="AP325" s="211"/>
      <c r="AQ325" s="211"/>
      <c r="AR325" s="211"/>
      <c r="AT325" s="211"/>
      <c r="AU325"/>
      <c r="AV325"/>
      <c r="AW325" s="211"/>
    </row>
    <row r="326" spans="2:49" x14ac:dyDescent="0.25">
      <c r="B326" s="450"/>
      <c r="C326" s="71"/>
      <c r="D326" s="71"/>
      <c r="E326" s="71"/>
      <c r="F326" s="317"/>
      <c r="G326" s="317"/>
      <c r="H326" s="317"/>
      <c r="I326" s="317"/>
      <c r="J326" s="71"/>
      <c r="K326" s="71"/>
      <c r="L326" s="71"/>
      <c r="M326" s="71"/>
      <c r="O326" s="71"/>
      <c r="P326" s="71"/>
      <c r="Q326" s="71"/>
      <c r="R326" s="71"/>
      <c r="S326" s="71"/>
      <c r="T326" s="71"/>
      <c r="U326" s="71"/>
      <c r="V326" s="71"/>
      <c r="W326" s="71"/>
      <c r="X326" s="125"/>
      <c r="AB326" s="71"/>
      <c r="AC326" s="71"/>
      <c r="AD326" s="71"/>
      <c r="AE326" s="125"/>
      <c r="AF326" s="71"/>
      <c r="AG326" s="71"/>
      <c r="AH326" s="71"/>
      <c r="AI326" s="218"/>
      <c r="AJ326" s="211"/>
      <c r="AK326" s="211"/>
      <c r="AL326" s="211"/>
      <c r="AP326" s="211"/>
      <c r="AQ326" s="211"/>
      <c r="AR326" s="211"/>
      <c r="AT326" s="211"/>
      <c r="AU326"/>
      <c r="AV326"/>
      <c r="AW326" s="211"/>
    </row>
    <row r="327" spans="2:49" x14ac:dyDescent="0.25">
      <c r="B327" s="450"/>
      <c r="C327" s="71"/>
      <c r="D327" s="71"/>
      <c r="E327" s="71"/>
      <c r="F327" s="317"/>
      <c r="G327" s="317"/>
      <c r="H327" s="317"/>
      <c r="I327" s="317"/>
      <c r="J327" s="71"/>
      <c r="K327" s="71"/>
      <c r="L327" s="71"/>
      <c r="M327" s="71"/>
      <c r="O327" s="71"/>
      <c r="P327" s="71"/>
      <c r="Q327" s="71"/>
      <c r="R327" s="71"/>
      <c r="S327" s="71"/>
      <c r="T327" s="71"/>
      <c r="U327" s="71"/>
      <c r="V327" s="71"/>
      <c r="W327" s="71"/>
      <c r="X327" s="125"/>
      <c r="AB327" s="71"/>
      <c r="AC327" s="71"/>
      <c r="AD327" s="71"/>
      <c r="AE327" s="125"/>
      <c r="AF327" s="71"/>
      <c r="AG327" s="71"/>
      <c r="AH327" s="71"/>
      <c r="AI327" s="218"/>
      <c r="AJ327" s="211"/>
      <c r="AK327" s="211"/>
      <c r="AL327" s="211"/>
      <c r="AP327" s="211"/>
      <c r="AQ327" s="211"/>
      <c r="AR327" s="211"/>
      <c r="AT327" s="211"/>
      <c r="AU327"/>
      <c r="AV327"/>
      <c r="AW327" s="211"/>
    </row>
    <row r="328" spans="2:49" x14ac:dyDescent="0.25">
      <c r="B328" s="450"/>
      <c r="C328" s="71"/>
      <c r="D328" s="71"/>
      <c r="E328" s="71"/>
      <c r="F328" s="317"/>
      <c r="G328" s="317"/>
      <c r="H328" s="317"/>
      <c r="I328" s="317"/>
      <c r="J328" s="71"/>
      <c r="K328" s="71"/>
      <c r="L328" s="71"/>
      <c r="M328" s="71"/>
      <c r="O328" s="71"/>
      <c r="P328" s="71"/>
      <c r="Q328" s="71"/>
      <c r="R328" s="71"/>
      <c r="S328" s="71"/>
      <c r="T328" s="71"/>
      <c r="U328" s="71"/>
      <c r="V328" s="71"/>
      <c r="W328" s="71"/>
      <c r="X328" s="125"/>
      <c r="AB328" s="71"/>
      <c r="AC328" s="71"/>
      <c r="AD328" s="71"/>
      <c r="AE328" s="125"/>
      <c r="AF328" s="71"/>
      <c r="AG328" s="71"/>
      <c r="AH328" s="71"/>
      <c r="AI328" s="218"/>
      <c r="AJ328" s="211"/>
      <c r="AK328" s="211"/>
      <c r="AL328" s="211"/>
      <c r="AP328" s="211"/>
      <c r="AQ328" s="211"/>
      <c r="AR328" s="211"/>
      <c r="AT328" s="211"/>
      <c r="AU328"/>
      <c r="AV328"/>
      <c r="AW328" s="211"/>
    </row>
    <row r="329" spans="2:49" x14ac:dyDescent="0.25">
      <c r="B329" s="450"/>
      <c r="C329" s="71"/>
      <c r="D329" s="71"/>
      <c r="E329" s="71"/>
      <c r="F329" s="317"/>
      <c r="G329" s="317"/>
      <c r="H329" s="317"/>
      <c r="I329" s="317"/>
      <c r="J329" s="71"/>
      <c r="K329" s="71"/>
      <c r="L329" s="71"/>
      <c r="M329" s="71"/>
      <c r="O329" s="71"/>
      <c r="P329" s="71"/>
      <c r="Q329" s="71"/>
      <c r="R329" s="71"/>
      <c r="S329" s="71"/>
      <c r="T329" s="71"/>
      <c r="U329" s="71"/>
      <c r="V329" s="71"/>
      <c r="W329" s="71"/>
      <c r="X329" s="125"/>
      <c r="AB329" s="71"/>
      <c r="AC329" s="71"/>
      <c r="AD329" s="71"/>
      <c r="AE329" s="125"/>
      <c r="AF329" s="71"/>
      <c r="AG329" s="71"/>
      <c r="AH329" s="71"/>
      <c r="AI329" s="218"/>
      <c r="AJ329" s="211"/>
      <c r="AK329" s="211"/>
      <c r="AL329" s="211"/>
      <c r="AP329" s="211"/>
      <c r="AQ329" s="211"/>
      <c r="AR329" s="211"/>
      <c r="AT329" s="211"/>
      <c r="AU329"/>
      <c r="AV329"/>
      <c r="AW329" s="211"/>
    </row>
    <row r="330" spans="2:49" x14ac:dyDescent="0.25">
      <c r="B330" s="450"/>
      <c r="C330" s="71"/>
      <c r="D330" s="71"/>
      <c r="E330" s="71"/>
      <c r="F330" s="317"/>
      <c r="G330" s="317"/>
      <c r="H330" s="317"/>
      <c r="I330" s="317"/>
      <c r="J330" s="71"/>
      <c r="K330" s="71"/>
      <c r="L330" s="71"/>
      <c r="M330" s="71"/>
      <c r="O330" s="71"/>
      <c r="P330" s="71"/>
      <c r="Q330" s="71"/>
      <c r="R330" s="71"/>
      <c r="S330" s="71"/>
      <c r="T330" s="71"/>
      <c r="U330" s="71"/>
      <c r="V330" s="71"/>
      <c r="W330" s="71"/>
      <c r="X330" s="125"/>
      <c r="AB330" s="71"/>
      <c r="AC330" s="71"/>
      <c r="AD330" s="71"/>
      <c r="AE330" s="125"/>
      <c r="AF330" s="71"/>
      <c r="AG330" s="71"/>
      <c r="AH330" s="71"/>
      <c r="AI330" s="218"/>
      <c r="AJ330" s="211"/>
      <c r="AK330" s="211"/>
      <c r="AL330" s="211"/>
      <c r="AP330" s="211"/>
      <c r="AQ330" s="211"/>
      <c r="AR330" s="211"/>
      <c r="AT330" s="211"/>
      <c r="AU330"/>
      <c r="AV330"/>
      <c r="AW330" s="211"/>
    </row>
    <row r="331" spans="2:49" x14ac:dyDescent="0.25">
      <c r="B331" s="450"/>
      <c r="C331" s="71"/>
      <c r="D331" s="71"/>
      <c r="E331" s="71"/>
      <c r="F331" s="317"/>
      <c r="G331" s="317"/>
      <c r="H331" s="317"/>
      <c r="I331" s="317"/>
      <c r="J331" s="71"/>
      <c r="K331" s="71"/>
      <c r="L331" s="71"/>
      <c r="M331" s="71"/>
      <c r="O331" s="71"/>
      <c r="P331" s="71"/>
      <c r="Q331" s="71"/>
      <c r="R331" s="71"/>
      <c r="S331" s="71"/>
      <c r="T331" s="71"/>
      <c r="U331" s="71"/>
      <c r="V331" s="71"/>
      <c r="W331" s="71"/>
      <c r="X331" s="125"/>
      <c r="AB331" s="71"/>
      <c r="AC331" s="71"/>
      <c r="AD331" s="71"/>
      <c r="AE331" s="125"/>
      <c r="AF331" s="71"/>
      <c r="AG331" s="71"/>
      <c r="AH331" s="71"/>
      <c r="AI331" s="218"/>
      <c r="AJ331" s="211"/>
      <c r="AK331" s="211"/>
      <c r="AL331" s="211"/>
      <c r="AP331" s="211"/>
      <c r="AQ331" s="211"/>
      <c r="AR331" s="211"/>
      <c r="AT331" s="211"/>
      <c r="AU331"/>
      <c r="AV331"/>
      <c r="AW331" s="211"/>
    </row>
    <row r="332" spans="2:49" x14ac:dyDescent="0.25">
      <c r="B332" s="450"/>
      <c r="C332" s="71"/>
      <c r="D332" s="71"/>
      <c r="E332" s="71"/>
      <c r="F332" s="317"/>
      <c r="G332" s="317"/>
      <c r="H332" s="317"/>
      <c r="I332" s="317"/>
      <c r="J332" s="71"/>
      <c r="K332" s="71"/>
      <c r="L332" s="71"/>
      <c r="M332" s="71"/>
      <c r="O332" s="71"/>
      <c r="P332" s="71"/>
      <c r="Q332" s="71"/>
      <c r="R332" s="71"/>
      <c r="S332" s="71"/>
      <c r="T332" s="71"/>
      <c r="U332" s="71"/>
      <c r="V332" s="71"/>
      <c r="W332" s="71"/>
      <c r="X332" s="125"/>
      <c r="AB332" s="71"/>
      <c r="AC332" s="71"/>
      <c r="AD332" s="71"/>
      <c r="AE332" s="125"/>
      <c r="AF332" s="71"/>
      <c r="AG332" s="71"/>
      <c r="AH332" s="71"/>
      <c r="AI332" s="218"/>
      <c r="AJ332" s="211"/>
      <c r="AK332" s="211"/>
      <c r="AL332" s="211"/>
      <c r="AP332" s="211"/>
      <c r="AQ332" s="211"/>
      <c r="AR332" s="211"/>
      <c r="AT332" s="211"/>
      <c r="AU332"/>
      <c r="AV332"/>
      <c r="AW332" s="211"/>
    </row>
    <row r="333" spans="2:49" x14ac:dyDescent="0.25">
      <c r="B333" s="450"/>
      <c r="C333" s="71"/>
      <c r="D333" s="71"/>
      <c r="E333" s="71"/>
      <c r="F333" s="317"/>
      <c r="G333" s="317"/>
      <c r="H333" s="317"/>
      <c r="I333" s="317"/>
      <c r="J333" s="71"/>
      <c r="K333" s="71"/>
      <c r="L333" s="71"/>
      <c r="M333" s="71"/>
      <c r="O333" s="71"/>
      <c r="P333" s="71"/>
      <c r="Q333" s="71"/>
      <c r="R333" s="71"/>
      <c r="S333" s="71"/>
      <c r="T333" s="71"/>
      <c r="U333" s="71"/>
      <c r="V333" s="71"/>
      <c r="W333" s="71"/>
      <c r="X333" s="125"/>
      <c r="AB333" s="71"/>
      <c r="AC333" s="71"/>
      <c r="AD333" s="71"/>
      <c r="AE333" s="125"/>
      <c r="AF333" s="71"/>
      <c r="AG333" s="71"/>
      <c r="AH333" s="71"/>
      <c r="AI333" s="218"/>
      <c r="AJ333" s="211"/>
      <c r="AK333" s="211"/>
      <c r="AL333" s="211"/>
      <c r="AP333" s="211"/>
      <c r="AQ333" s="211"/>
      <c r="AR333" s="211"/>
      <c r="AT333" s="211"/>
      <c r="AU333"/>
      <c r="AV333"/>
      <c r="AW333" s="211"/>
    </row>
    <row r="334" spans="2:49" x14ac:dyDescent="0.25">
      <c r="B334" s="450"/>
      <c r="C334" s="71"/>
      <c r="D334" s="71"/>
      <c r="E334" s="71"/>
      <c r="F334" s="317"/>
      <c r="G334" s="317"/>
      <c r="H334" s="317"/>
      <c r="I334" s="317"/>
      <c r="J334" s="71"/>
      <c r="K334" s="71"/>
      <c r="L334" s="71"/>
      <c r="M334" s="71"/>
      <c r="O334" s="71"/>
      <c r="P334" s="71"/>
      <c r="Q334" s="71"/>
      <c r="R334" s="71"/>
      <c r="S334" s="71"/>
      <c r="T334" s="71"/>
      <c r="U334" s="71"/>
      <c r="V334" s="71"/>
      <c r="W334" s="71"/>
      <c r="X334" s="125"/>
      <c r="AB334" s="71"/>
      <c r="AC334" s="71"/>
      <c r="AD334" s="71"/>
      <c r="AE334" s="125"/>
      <c r="AF334" s="71"/>
      <c r="AG334" s="71"/>
      <c r="AH334" s="71"/>
      <c r="AI334" s="218"/>
      <c r="AJ334" s="211"/>
      <c r="AK334" s="211"/>
      <c r="AL334" s="211"/>
      <c r="AP334" s="211"/>
      <c r="AQ334" s="211"/>
      <c r="AR334" s="211"/>
      <c r="AT334" s="211"/>
      <c r="AU334"/>
      <c r="AV334"/>
      <c r="AW334" s="211"/>
    </row>
    <row r="335" spans="2:49" x14ac:dyDescent="0.25">
      <c r="B335" s="450"/>
      <c r="C335" s="71"/>
      <c r="D335" s="71"/>
      <c r="E335" s="71"/>
      <c r="F335" s="317"/>
      <c r="G335" s="317"/>
      <c r="H335" s="317"/>
      <c r="I335" s="317"/>
      <c r="J335" s="71"/>
      <c r="K335" s="71"/>
      <c r="L335" s="71"/>
      <c r="M335" s="71"/>
      <c r="O335" s="71"/>
      <c r="P335" s="71"/>
      <c r="Q335" s="71"/>
      <c r="R335" s="71"/>
      <c r="S335" s="71"/>
      <c r="T335" s="71"/>
      <c r="U335" s="71"/>
      <c r="V335" s="71"/>
      <c r="W335" s="71"/>
      <c r="X335" s="125"/>
      <c r="AB335" s="71"/>
      <c r="AC335" s="71"/>
      <c r="AD335" s="71"/>
      <c r="AE335" s="125"/>
      <c r="AF335" s="71"/>
      <c r="AG335" s="71"/>
      <c r="AH335" s="71"/>
      <c r="AI335" s="218"/>
      <c r="AJ335" s="211"/>
      <c r="AK335" s="211"/>
      <c r="AL335" s="211"/>
      <c r="AP335" s="211"/>
      <c r="AQ335" s="211"/>
      <c r="AR335" s="211"/>
      <c r="AT335" s="211"/>
      <c r="AU335"/>
      <c r="AV335"/>
      <c r="AW335" s="211"/>
    </row>
    <row r="336" spans="2:49" x14ac:dyDescent="0.25">
      <c r="B336" s="450"/>
      <c r="C336" s="71"/>
      <c r="D336" s="71"/>
      <c r="E336" s="71"/>
      <c r="F336" s="317"/>
      <c r="G336" s="317"/>
      <c r="H336" s="317"/>
      <c r="I336" s="317"/>
      <c r="J336" s="71"/>
      <c r="K336" s="71"/>
      <c r="L336" s="71"/>
      <c r="M336" s="71"/>
      <c r="O336" s="71"/>
      <c r="P336" s="71"/>
      <c r="Q336" s="71"/>
      <c r="R336" s="71"/>
      <c r="S336" s="71"/>
      <c r="T336" s="71"/>
      <c r="U336" s="71"/>
      <c r="V336" s="71"/>
      <c r="W336" s="71"/>
      <c r="X336" s="125"/>
      <c r="AB336" s="71"/>
      <c r="AC336" s="71"/>
      <c r="AD336" s="71"/>
      <c r="AE336" s="125"/>
      <c r="AF336" s="71"/>
      <c r="AG336" s="71"/>
      <c r="AH336" s="71"/>
      <c r="AI336" s="218"/>
      <c r="AJ336" s="211"/>
      <c r="AK336" s="211"/>
      <c r="AL336" s="211"/>
      <c r="AP336" s="211"/>
      <c r="AQ336" s="211"/>
      <c r="AR336" s="211"/>
      <c r="AT336" s="211"/>
      <c r="AU336"/>
      <c r="AV336"/>
      <c r="AW336" s="211"/>
    </row>
    <row r="337" spans="2:49" x14ac:dyDescent="0.25">
      <c r="B337" s="450"/>
      <c r="C337" s="71"/>
      <c r="D337" s="71"/>
      <c r="E337" s="71"/>
      <c r="F337" s="317"/>
      <c r="G337" s="317"/>
      <c r="H337" s="317"/>
      <c r="I337" s="317"/>
      <c r="J337" s="71"/>
      <c r="K337" s="71"/>
      <c r="L337" s="71"/>
      <c r="M337" s="71"/>
      <c r="O337" s="71"/>
      <c r="P337" s="71"/>
      <c r="Q337" s="71"/>
      <c r="R337" s="71"/>
      <c r="S337" s="71"/>
      <c r="T337" s="71"/>
      <c r="U337" s="71"/>
      <c r="V337" s="71"/>
      <c r="W337" s="71"/>
      <c r="X337" s="125"/>
      <c r="AB337" s="71"/>
      <c r="AC337" s="71"/>
      <c r="AD337" s="71"/>
      <c r="AE337" s="125"/>
      <c r="AF337" s="71"/>
      <c r="AG337" s="71"/>
      <c r="AH337" s="71"/>
      <c r="AI337" s="218"/>
      <c r="AJ337" s="211"/>
      <c r="AK337" s="211"/>
      <c r="AL337" s="211"/>
      <c r="AP337" s="211"/>
      <c r="AQ337" s="211"/>
      <c r="AR337" s="211"/>
      <c r="AT337" s="211"/>
      <c r="AU337"/>
      <c r="AV337"/>
      <c r="AW337" s="211"/>
    </row>
    <row r="338" spans="2:49" x14ac:dyDescent="0.25">
      <c r="B338" s="450"/>
      <c r="C338" s="71"/>
      <c r="D338" s="71"/>
      <c r="E338" s="71"/>
      <c r="F338" s="317"/>
      <c r="G338" s="317"/>
      <c r="H338" s="317"/>
      <c r="I338" s="317"/>
      <c r="J338" s="71"/>
      <c r="K338" s="71"/>
      <c r="L338" s="71"/>
      <c r="M338" s="71"/>
      <c r="O338" s="71"/>
      <c r="P338" s="71"/>
      <c r="Q338" s="71"/>
      <c r="R338" s="71"/>
      <c r="S338" s="71"/>
      <c r="T338" s="71"/>
      <c r="U338" s="71"/>
      <c r="V338" s="71"/>
      <c r="W338" s="71"/>
      <c r="X338" s="125"/>
      <c r="AB338" s="71"/>
      <c r="AC338" s="71"/>
      <c r="AD338" s="71"/>
      <c r="AE338" s="125"/>
      <c r="AF338" s="71"/>
      <c r="AG338" s="71"/>
      <c r="AH338" s="71"/>
      <c r="AI338" s="218"/>
      <c r="AJ338" s="211"/>
      <c r="AK338" s="211"/>
      <c r="AL338" s="211"/>
      <c r="AP338" s="211"/>
      <c r="AQ338" s="211"/>
      <c r="AR338" s="211"/>
      <c r="AT338" s="211"/>
      <c r="AU338"/>
      <c r="AV338"/>
      <c r="AW338" s="211"/>
    </row>
    <row r="339" spans="2:49" x14ac:dyDescent="0.25">
      <c r="B339" s="450"/>
      <c r="C339" s="71"/>
      <c r="D339" s="71"/>
      <c r="E339" s="71"/>
      <c r="F339" s="317"/>
      <c r="G339" s="317"/>
      <c r="H339" s="317"/>
      <c r="I339" s="317"/>
      <c r="J339" s="71"/>
      <c r="K339" s="71"/>
      <c r="L339" s="71"/>
      <c r="M339" s="71"/>
      <c r="O339" s="71"/>
      <c r="P339" s="71"/>
      <c r="Q339" s="71"/>
      <c r="R339" s="71"/>
      <c r="S339" s="71"/>
      <c r="T339" s="71"/>
      <c r="U339" s="71"/>
      <c r="V339" s="71"/>
      <c r="W339" s="71"/>
      <c r="X339" s="125"/>
      <c r="AB339" s="71"/>
      <c r="AC339" s="71"/>
      <c r="AD339" s="71"/>
      <c r="AE339" s="125"/>
      <c r="AF339" s="71"/>
      <c r="AG339" s="71"/>
      <c r="AH339" s="71"/>
      <c r="AI339" s="218"/>
      <c r="AJ339" s="211"/>
      <c r="AK339" s="211"/>
      <c r="AL339" s="211"/>
      <c r="AP339" s="211"/>
      <c r="AQ339" s="211"/>
      <c r="AR339" s="211"/>
      <c r="AT339" s="211"/>
      <c r="AU339"/>
      <c r="AV339"/>
      <c r="AW339" s="211"/>
    </row>
    <row r="340" spans="2:49" x14ac:dyDescent="0.25">
      <c r="B340" s="450"/>
      <c r="C340" s="71"/>
      <c r="D340" s="71"/>
      <c r="E340" s="71"/>
      <c r="F340" s="317"/>
      <c r="G340" s="317"/>
      <c r="H340" s="317"/>
      <c r="I340" s="317"/>
      <c r="J340" s="71"/>
      <c r="K340" s="71"/>
      <c r="L340" s="71"/>
      <c r="M340" s="71"/>
      <c r="O340" s="71"/>
      <c r="P340" s="71"/>
      <c r="Q340" s="71"/>
      <c r="R340" s="71"/>
      <c r="S340" s="71"/>
      <c r="T340" s="71"/>
      <c r="U340" s="71"/>
      <c r="V340" s="71"/>
      <c r="W340" s="71"/>
      <c r="X340" s="125"/>
      <c r="AB340" s="71"/>
      <c r="AC340" s="71"/>
      <c r="AD340" s="71"/>
      <c r="AE340" s="125"/>
      <c r="AF340" s="71"/>
      <c r="AG340" s="71"/>
      <c r="AH340" s="71"/>
      <c r="AI340" s="218"/>
      <c r="AJ340" s="211"/>
      <c r="AK340" s="211"/>
      <c r="AL340" s="211"/>
      <c r="AP340" s="211"/>
      <c r="AQ340" s="211"/>
      <c r="AR340" s="211"/>
      <c r="AT340" s="211"/>
      <c r="AU340"/>
      <c r="AV340"/>
      <c r="AW340" s="211"/>
    </row>
    <row r="341" spans="2:49" x14ac:dyDescent="0.25">
      <c r="B341" s="450"/>
      <c r="C341" s="71"/>
      <c r="D341" s="71"/>
      <c r="E341" s="71"/>
      <c r="F341" s="317"/>
      <c r="G341" s="317"/>
      <c r="H341" s="317"/>
      <c r="I341" s="317"/>
      <c r="J341" s="71"/>
      <c r="K341" s="71"/>
      <c r="L341" s="71"/>
      <c r="M341" s="71"/>
      <c r="O341" s="71"/>
      <c r="P341" s="71"/>
      <c r="Q341" s="71"/>
      <c r="R341" s="71"/>
      <c r="S341" s="71"/>
      <c r="T341" s="71"/>
      <c r="U341" s="71"/>
      <c r="V341" s="71"/>
      <c r="W341" s="71"/>
      <c r="X341" s="125"/>
      <c r="AB341" s="71"/>
      <c r="AC341" s="71"/>
      <c r="AD341" s="71"/>
      <c r="AE341" s="125"/>
      <c r="AF341" s="71"/>
      <c r="AG341" s="71"/>
      <c r="AH341" s="71"/>
      <c r="AI341" s="218"/>
      <c r="AJ341" s="211"/>
      <c r="AK341" s="211"/>
      <c r="AL341" s="211"/>
      <c r="AP341" s="211"/>
      <c r="AQ341" s="211"/>
      <c r="AR341" s="211"/>
      <c r="AT341" s="211"/>
      <c r="AU341"/>
      <c r="AV341"/>
      <c r="AW341" s="211"/>
    </row>
    <row r="342" spans="2:49" x14ac:dyDescent="0.25">
      <c r="B342" s="450"/>
      <c r="C342" s="71"/>
      <c r="D342" s="71"/>
      <c r="E342" s="71"/>
      <c r="F342" s="317"/>
      <c r="G342" s="317"/>
      <c r="H342" s="317"/>
      <c r="I342" s="317"/>
      <c r="J342" s="71"/>
      <c r="K342" s="71"/>
      <c r="L342" s="71"/>
      <c r="M342" s="71"/>
      <c r="O342" s="71"/>
      <c r="P342" s="71"/>
      <c r="Q342" s="71"/>
      <c r="R342" s="71"/>
      <c r="S342" s="71"/>
      <c r="T342" s="71"/>
      <c r="U342" s="71"/>
      <c r="V342" s="71"/>
      <c r="W342" s="71"/>
      <c r="X342" s="125"/>
      <c r="AB342" s="71"/>
      <c r="AC342" s="71"/>
      <c r="AD342" s="71"/>
      <c r="AE342" s="125"/>
      <c r="AF342" s="71"/>
      <c r="AG342" s="71"/>
      <c r="AH342" s="71"/>
      <c r="AI342" s="218"/>
      <c r="AJ342" s="211"/>
      <c r="AK342" s="211"/>
      <c r="AL342" s="211"/>
      <c r="AP342" s="211"/>
      <c r="AQ342" s="211"/>
      <c r="AR342" s="211"/>
      <c r="AT342" s="211"/>
      <c r="AU342"/>
      <c r="AV342"/>
      <c r="AW342" s="211"/>
    </row>
    <row r="343" spans="2:49" x14ac:dyDescent="0.25">
      <c r="B343" s="450"/>
      <c r="C343" s="71"/>
      <c r="D343" s="71"/>
      <c r="E343" s="71"/>
      <c r="F343" s="317"/>
      <c r="G343" s="317"/>
      <c r="H343" s="317"/>
      <c r="I343" s="317"/>
      <c r="J343" s="71"/>
      <c r="K343" s="71"/>
      <c r="L343" s="71"/>
      <c r="M343" s="71"/>
      <c r="O343" s="71"/>
      <c r="P343" s="71"/>
      <c r="Q343" s="71"/>
      <c r="R343" s="71"/>
      <c r="S343" s="71"/>
      <c r="T343" s="71"/>
      <c r="U343" s="71"/>
      <c r="V343" s="71"/>
      <c r="W343" s="71"/>
      <c r="X343" s="125"/>
      <c r="AB343" s="71"/>
      <c r="AC343" s="71"/>
      <c r="AD343" s="71"/>
      <c r="AE343" s="125"/>
      <c r="AF343" s="71"/>
      <c r="AG343" s="71"/>
      <c r="AH343" s="71"/>
      <c r="AI343" s="218"/>
      <c r="AJ343" s="211"/>
      <c r="AK343" s="211"/>
      <c r="AL343" s="211"/>
      <c r="AP343" s="211"/>
      <c r="AQ343" s="211"/>
      <c r="AR343" s="211"/>
      <c r="AT343" s="211"/>
      <c r="AU343"/>
      <c r="AV343"/>
      <c r="AW343" s="211"/>
    </row>
    <row r="344" spans="2:49" x14ac:dyDescent="0.25">
      <c r="B344" s="450"/>
      <c r="C344" s="71"/>
      <c r="D344" s="71"/>
      <c r="E344" s="71"/>
      <c r="F344" s="317"/>
      <c r="G344" s="317"/>
      <c r="H344" s="317"/>
      <c r="I344" s="317"/>
      <c r="J344" s="71"/>
      <c r="K344" s="71"/>
      <c r="L344" s="71"/>
      <c r="M344" s="71"/>
      <c r="O344" s="71"/>
      <c r="P344" s="71"/>
      <c r="Q344" s="71"/>
      <c r="R344" s="71"/>
      <c r="S344" s="71"/>
      <c r="T344" s="71"/>
      <c r="U344" s="71"/>
      <c r="V344" s="71"/>
      <c r="W344" s="71"/>
      <c r="X344" s="125"/>
      <c r="AB344" s="71"/>
      <c r="AC344" s="71"/>
      <c r="AD344" s="71"/>
      <c r="AE344" s="125"/>
      <c r="AF344" s="71"/>
      <c r="AG344" s="71"/>
      <c r="AH344" s="71"/>
      <c r="AI344" s="218"/>
      <c r="AJ344" s="211"/>
      <c r="AK344" s="211"/>
      <c r="AL344" s="211"/>
      <c r="AP344" s="211"/>
      <c r="AQ344" s="211"/>
      <c r="AR344" s="211"/>
      <c r="AT344" s="211"/>
      <c r="AU344"/>
      <c r="AV344"/>
      <c r="AW344" s="211"/>
    </row>
    <row r="345" spans="2:49" x14ac:dyDescent="0.25">
      <c r="B345" s="450"/>
      <c r="C345" s="71"/>
      <c r="D345" s="71"/>
      <c r="E345" s="71"/>
      <c r="F345" s="317"/>
      <c r="G345" s="317"/>
      <c r="H345" s="317"/>
      <c r="I345" s="317"/>
      <c r="J345" s="71"/>
      <c r="K345" s="71"/>
      <c r="L345" s="71"/>
      <c r="M345" s="71"/>
      <c r="O345" s="71"/>
      <c r="P345" s="71"/>
      <c r="Q345" s="71"/>
      <c r="R345" s="71"/>
      <c r="S345" s="71"/>
      <c r="T345" s="71"/>
      <c r="U345" s="71"/>
      <c r="V345" s="71"/>
      <c r="W345" s="71"/>
      <c r="X345" s="125"/>
      <c r="AB345" s="71"/>
      <c r="AC345" s="71"/>
      <c r="AD345" s="71"/>
      <c r="AE345" s="125"/>
      <c r="AF345" s="71"/>
      <c r="AG345" s="71"/>
      <c r="AH345" s="71"/>
      <c r="AI345" s="218"/>
      <c r="AJ345" s="211"/>
      <c r="AK345" s="211"/>
      <c r="AL345" s="211"/>
      <c r="AP345" s="211"/>
      <c r="AQ345" s="211"/>
      <c r="AR345" s="211"/>
      <c r="AT345" s="211"/>
      <c r="AU345"/>
      <c r="AV345"/>
      <c r="AW345" s="211"/>
    </row>
    <row r="346" spans="2:49" x14ac:dyDescent="0.25">
      <c r="B346" s="450"/>
      <c r="C346" s="71"/>
      <c r="D346" s="71"/>
      <c r="E346" s="71"/>
      <c r="F346" s="317"/>
      <c r="G346" s="317"/>
      <c r="H346" s="317"/>
      <c r="I346" s="317"/>
      <c r="J346" s="71"/>
      <c r="K346" s="71"/>
      <c r="L346" s="71"/>
      <c r="M346" s="71"/>
      <c r="O346" s="71"/>
      <c r="P346" s="71"/>
      <c r="Q346" s="71"/>
      <c r="R346" s="71"/>
      <c r="S346" s="71"/>
      <c r="T346" s="71"/>
      <c r="U346" s="71"/>
      <c r="V346" s="71"/>
      <c r="W346" s="71"/>
      <c r="X346" s="125"/>
      <c r="AB346" s="71"/>
      <c r="AC346" s="71"/>
      <c r="AD346" s="71"/>
      <c r="AE346" s="125"/>
      <c r="AF346" s="71"/>
      <c r="AG346" s="71"/>
      <c r="AH346" s="71"/>
      <c r="AI346" s="218"/>
      <c r="AJ346" s="211"/>
      <c r="AK346" s="211"/>
      <c r="AL346" s="211"/>
      <c r="AP346" s="211"/>
      <c r="AQ346" s="211"/>
      <c r="AR346" s="211"/>
      <c r="AT346" s="211"/>
      <c r="AU346"/>
      <c r="AV346"/>
      <c r="AW346" s="211"/>
    </row>
    <row r="347" spans="2:49" x14ac:dyDescent="0.25">
      <c r="B347" s="450"/>
      <c r="C347" s="71"/>
      <c r="D347" s="71"/>
      <c r="E347" s="71"/>
      <c r="F347" s="317"/>
      <c r="G347" s="317"/>
      <c r="H347" s="317"/>
      <c r="I347" s="317"/>
      <c r="J347" s="71"/>
      <c r="K347" s="71"/>
      <c r="L347" s="71"/>
      <c r="M347" s="71"/>
      <c r="O347" s="71"/>
      <c r="P347" s="71"/>
      <c r="Q347" s="71"/>
      <c r="R347" s="71"/>
      <c r="S347" s="71"/>
      <c r="T347" s="71"/>
      <c r="U347" s="71"/>
      <c r="V347" s="71"/>
      <c r="W347" s="71"/>
      <c r="X347" s="125"/>
      <c r="AB347" s="71"/>
      <c r="AC347" s="71"/>
      <c r="AD347" s="71"/>
      <c r="AE347" s="125"/>
      <c r="AF347" s="71"/>
      <c r="AG347" s="71"/>
      <c r="AH347" s="71"/>
      <c r="AI347" s="218"/>
      <c r="AJ347" s="211"/>
      <c r="AK347" s="211"/>
      <c r="AL347" s="211"/>
      <c r="AP347" s="211"/>
      <c r="AQ347" s="211"/>
      <c r="AR347" s="211"/>
      <c r="AT347" s="211"/>
      <c r="AU347"/>
      <c r="AV347"/>
      <c r="AW347" s="211"/>
    </row>
    <row r="348" spans="2:49" x14ac:dyDescent="0.25">
      <c r="B348" s="450"/>
      <c r="C348" s="71"/>
      <c r="D348" s="71"/>
      <c r="E348" s="71"/>
      <c r="F348" s="317"/>
      <c r="G348" s="317"/>
      <c r="H348" s="317"/>
      <c r="I348" s="317"/>
      <c r="J348" s="71"/>
      <c r="K348" s="71"/>
      <c r="L348" s="71"/>
      <c r="M348" s="71"/>
      <c r="O348" s="71"/>
      <c r="P348" s="71"/>
      <c r="Q348" s="71"/>
      <c r="R348" s="71"/>
      <c r="S348" s="71"/>
      <c r="T348" s="71"/>
      <c r="U348" s="71"/>
      <c r="V348" s="71"/>
      <c r="W348" s="71"/>
      <c r="X348" s="125"/>
      <c r="AB348" s="71"/>
      <c r="AC348" s="71"/>
      <c r="AD348" s="71"/>
      <c r="AE348" s="125"/>
      <c r="AF348" s="71"/>
      <c r="AG348" s="71"/>
      <c r="AH348" s="71"/>
      <c r="AI348" s="218"/>
      <c r="AJ348" s="211"/>
      <c r="AK348" s="211"/>
      <c r="AL348" s="211"/>
      <c r="AP348" s="211"/>
      <c r="AQ348" s="211"/>
      <c r="AR348" s="211"/>
      <c r="AT348" s="211"/>
      <c r="AU348"/>
      <c r="AV348"/>
      <c r="AW348" s="211"/>
    </row>
    <row r="349" spans="2:49" x14ac:dyDescent="0.25">
      <c r="B349" s="450"/>
      <c r="C349" s="71"/>
      <c r="D349" s="71"/>
      <c r="E349" s="71"/>
      <c r="F349" s="317"/>
      <c r="G349" s="317"/>
      <c r="H349" s="317"/>
      <c r="I349" s="317"/>
      <c r="J349" s="71"/>
      <c r="K349" s="71"/>
      <c r="L349" s="71"/>
      <c r="M349" s="71"/>
      <c r="O349" s="71"/>
      <c r="P349" s="71"/>
      <c r="Q349" s="71"/>
      <c r="R349" s="71"/>
      <c r="S349" s="71"/>
      <c r="T349" s="71"/>
      <c r="U349" s="71"/>
      <c r="V349" s="71"/>
      <c r="W349" s="71"/>
      <c r="X349" s="125"/>
      <c r="AB349" s="71"/>
      <c r="AC349" s="71"/>
      <c r="AD349" s="71"/>
      <c r="AE349" s="125"/>
      <c r="AF349" s="71"/>
      <c r="AG349" s="71"/>
      <c r="AH349" s="71"/>
      <c r="AI349" s="218"/>
      <c r="AJ349" s="211"/>
      <c r="AK349" s="211"/>
      <c r="AL349" s="211"/>
      <c r="AP349" s="211"/>
      <c r="AQ349" s="211"/>
      <c r="AR349" s="211"/>
      <c r="AT349" s="211"/>
      <c r="AU349"/>
      <c r="AV349"/>
      <c r="AW349" s="211"/>
    </row>
    <row r="350" spans="2:49" x14ac:dyDescent="0.25">
      <c r="B350" s="450"/>
      <c r="C350" s="71"/>
      <c r="D350" s="71"/>
      <c r="E350" s="71"/>
      <c r="F350" s="317"/>
      <c r="G350" s="317"/>
      <c r="H350" s="317"/>
      <c r="I350" s="317"/>
      <c r="J350" s="71"/>
      <c r="K350" s="71"/>
      <c r="L350" s="71"/>
      <c r="M350" s="71"/>
      <c r="O350" s="71"/>
      <c r="P350" s="71"/>
      <c r="Q350" s="71"/>
      <c r="R350" s="71"/>
      <c r="S350" s="71"/>
      <c r="T350" s="71"/>
      <c r="U350" s="71"/>
      <c r="V350" s="71"/>
      <c r="W350" s="71"/>
      <c r="X350" s="125"/>
      <c r="AB350" s="71"/>
      <c r="AC350" s="71"/>
      <c r="AD350" s="71"/>
      <c r="AE350" s="125"/>
      <c r="AF350" s="71"/>
      <c r="AG350" s="71"/>
      <c r="AH350" s="71"/>
      <c r="AI350" s="218"/>
      <c r="AJ350" s="211"/>
      <c r="AK350" s="211"/>
      <c r="AL350" s="211"/>
      <c r="AP350" s="211"/>
      <c r="AQ350" s="211"/>
      <c r="AR350" s="211"/>
      <c r="AT350" s="211"/>
      <c r="AU350"/>
      <c r="AV350"/>
      <c r="AW350" s="211"/>
    </row>
    <row r="351" spans="2:49" x14ac:dyDescent="0.25">
      <c r="B351" s="450"/>
      <c r="C351" s="71"/>
      <c r="D351" s="71"/>
      <c r="E351" s="71"/>
      <c r="F351" s="317"/>
      <c r="G351" s="317"/>
      <c r="H351" s="317"/>
      <c r="I351" s="317"/>
      <c r="J351" s="71"/>
      <c r="K351" s="71"/>
      <c r="L351" s="71"/>
      <c r="M351" s="71"/>
      <c r="O351" s="71"/>
      <c r="P351" s="71"/>
      <c r="Q351" s="71"/>
      <c r="R351" s="71"/>
      <c r="S351" s="71"/>
      <c r="T351" s="71"/>
      <c r="U351" s="71"/>
      <c r="V351" s="71"/>
      <c r="W351" s="71"/>
      <c r="X351" s="125"/>
      <c r="AB351" s="71"/>
      <c r="AC351" s="71"/>
      <c r="AD351" s="71"/>
      <c r="AE351" s="125"/>
      <c r="AF351" s="71"/>
      <c r="AG351" s="71"/>
      <c r="AH351" s="71"/>
      <c r="AI351" s="218"/>
      <c r="AJ351" s="211"/>
      <c r="AK351" s="211"/>
      <c r="AL351" s="211"/>
      <c r="AP351" s="211"/>
      <c r="AQ351" s="211"/>
      <c r="AR351" s="211"/>
      <c r="AT351" s="211"/>
      <c r="AU351"/>
      <c r="AV351"/>
      <c r="AW351" s="211"/>
    </row>
    <row r="352" spans="2:49" x14ac:dyDescent="0.25">
      <c r="B352" s="450"/>
      <c r="C352" s="71"/>
      <c r="D352" s="71"/>
      <c r="E352" s="71"/>
      <c r="F352" s="317"/>
      <c r="G352" s="317"/>
      <c r="H352" s="317"/>
      <c r="I352" s="317"/>
      <c r="J352" s="71"/>
      <c r="K352" s="71"/>
      <c r="L352" s="71"/>
      <c r="M352" s="71"/>
      <c r="O352" s="71"/>
      <c r="P352" s="71"/>
      <c r="Q352" s="71"/>
      <c r="R352" s="71"/>
      <c r="S352" s="71"/>
      <c r="T352" s="71"/>
      <c r="U352" s="71"/>
      <c r="V352" s="71"/>
      <c r="W352" s="71"/>
      <c r="X352" s="125"/>
      <c r="AB352" s="71"/>
      <c r="AC352" s="71"/>
      <c r="AD352" s="71"/>
      <c r="AE352" s="125"/>
      <c r="AF352" s="71"/>
      <c r="AG352" s="71"/>
      <c r="AH352" s="71"/>
      <c r="AI352" s="218"/>
      <c r="AJ352" s="211"/>
      <c r="AK352" s="211"/>
      <c r="AL352" s="211"/>
      <c r="AP352" s="211"/>
      <c r="AQ352" s="211"/>
      <c r="AR352" s="211"/>
      <c r="AT352" s="211"/>
      <c r="AU352"/>
      <c r="AV352"/>
      <c r="AW352" s="211"/>
    </row>
    <row r="353" spans="2:49" x14ac:dyDescent="0.25">
      <c r="B353" s="450"/>
      <c r="C353" s="71"/>
      <c r="D353" s="71"/>
      <c r="E353" s="71"/>
      <c r="F353" s="317"/>
      <c r="G353" s="317"/>
      <c r="H353" s="317"/>
      <c r="I353" s="317"/>
      <c r="J353" s="71"/>
      <c r="K353" s="71"/>
      <c r="L353" s="71"/>
      <c r="M353" s="71"/>
      <c r="O353" s="71"/>
      <c r="P353" s="71"/>
      <c r="Q353" s="71"/>
      <c r="R353" s="71"/>
      <c r="S353" s="71"/>
      <c r="T353" s="71"/>
      <c r="U353" s="71"/>
      <c r="V353" s="71"/>
      <c r="W353" s="71"/>
      <c r="X353" s="125"/>
      <c r="AB353" s="71"/>
      <c r="AC353" s="71"/>
      <c r="AD353" s="71"/>
      <c r="AE353" s="125"/>
      <c r="AF353" s="71"/>
      <c r="AG353" s="71"/>
      <c r="AH353" s="71"/>
      <c r="AI353" s="218"/>
      <c r="AJ353" s="211"/>
      <c r="AK353" s="211"/>
      <c r="AL353" s="211"/>
      <c r="AP353" s="211"/>
      <c r="AQ353" s="211"/>
      <c r="AR353" s="211"/>
      <c r="AT353" s="211"/>
      <c r="AU353"/>
      <c r="AV353"/>
      <c r="AW353" s="211"/>
    </row>
    <row r="354" spans="2:49" x14ac:dyDescent="0.25">
      <c r="B354" s="450"/>
      <c r="C354" s="71"/>
      <c r="D354" s="71"/>
      <c r="E354" s="71"/>
      <c r="F354" s="317"/>
      <c r="G354" s="317"/>
      <c r="H354" s="317"/>
      <c r="I354" s="317"/>
      <c r="J354" s="71"/>
      <c r="K354" s="71"/>
      <c r="L354" s="71"/>
      <c r="M354" s="71"/>
      <c r="O354" s="71"/>
      <c r="P354" s="71"/>
      <c r="Q354" s="71"/>
      <c r="R354" s="71"/>
      <c r="S354" s="71"/>
      <c r="T354" s="71"/>
      <c r="U354" s="71"/>
      <c r="V354" s="71"/>
      <c r="W354" s="71"/>
      <c r="X354" s="125"/>
      <c r="AB354" s="71"/>
      <c r="AC354" s="71"/>
      <c r="AD354" s="71"/>
      <c r="AE354" s="125"/>
      <c r="AF354" s="71"/>
      <c r="AG354" s="71"/>
      <c r="AH354" s="71"/>
      <c r="AI354" s="218"/>
      <c r="AJ354" s="211"/>
      <c r="AK354" s="211"/>
      <c r="AL354" s="211"/>
      <c r="AP354" s="211"/>
      <c r="AQ354" s="211"/>
      <c r="AR354" s="211"/>
      <c r="AT354" s="211"/>
      <c r="AU354"/>
      <c r="AV354"/>
      <c r="AW354" s="211"/>
    </row>
    <row r="355" spans="2:49" x14ac:dyDescent="0.25">
      <c r="B355" s="450"/>
      <c r="C355" s="71"/>
      <c r="D355" s="71"/>
      <c r="E355" s="71"/>
      <c r="F355" s="317"/>
      <c r="G355" s="317"/>
      <c r="H355" s="317"/>
      <c r="I355" s="317"/>
      <c r="J355" s="71"/>
      <c r="K355" s="71"/>
      <c r="L355" s="71"/>
      <c r="M355" s="71"/>
      <c r="O355" s="71"/>
      <c r="P355" s="71"/>
      <c r="Q355" s="71"/>
      <c r="R355" s="71"/>
      <c r="S355" s="71"/>
      <c r="T355" s="71"/>
      <c r="U355" s="71"/>
      <c r="V355" s="71"/>
      <c r="W355" s="71"/>
      <c r="X355" s="125"/>
      <c r="AB355" s="71"/>
      <c r="AC355" s="71"/>
      <c r="AD355" s="71"/>
      <c r="AE355" s="125"/>
      <c r="AF355" s="71"/>
      <c r="AG355" s="71"/>
      <c r="AH355" s="71"/>
      <c r="AI355" s="218"/>
      <c r="AJ355" s="211"/>
      <c r="AK355" s="211"/>
      <c r="AL355" s="211"/>
      <c r="AP355" s="211"/>
      <c r="AQ355" s="211"/>
      <c r="AR355" s="211"/>
      <c r="AT355" s="211"/>
      <c r="AU355"/>
      <c r="AV355"/>
      <c r="AW355" s="211"/>
    </row>
    <row r="356" spans="2:49" x14ac:dyDescent="0.25">
      <c r="B356" s="450"/>
      <c r="C356" s="71"/>
      <c r="D356" s="71"/>
      <c r="E356" s="71"/>
      <c r="F356" s="317"/>
      <c r="G356" s="317"/>
      <c r="H356" s="317"/>
      <c r="I356" s="317"/>
      <c r="J356" s="71"/>
      <c r="K356" s="71"/>
      <c r="L356" s="71"/>
      <c r="M356" s="71"/>
      <c r="O356" s="71"/>
      <c r="P356" s="71"/>
      <c r="Q356" s="71"/>
      <c r="R356" s="71"/>
      <c r="S356" s="71"/>
      <c r="T356" s="71"/>
      <c r="U356" s="71"/>
      <c r="V356" s="71"/>
      <c r="W356" s="71"/>
      <c r="X356" s="125"/>
      <c r="AB356" s="71"/>
      <c r="AC356" s="71"/>
      <c r="AD356" s="71"/>
      <c r="AE356" s="125"/>
      <c r="AF356" s="71"/>
      <c r="AG356" s="71"/>
      <c r="AH356" s="71"/>
      <c r="AI356" s="218"/>
      <c r="AJ356" s="211"/>
      <c r="AK356" s="211"/>
      <c r="AL356" s="211"/>
      <c r="AP356" s="211"/>
      <c r="AQ356" s="211"/>
      <c r="AR356" s="211"/>
      <c r="AT356" s="211"/>
      <c r="AU356"/>
      <c r="AV356"/>
      <c r="AW356" s="211"/>
    </row>
    <row r="357" spans="2:49" x14ac:dyDescent="0.25">
      <c r="B357" s="450"/>
      <c r="C357" s="71"/>
      <c r="D357" s="71"/>
      <c r="E357" s="71"/>
      <c r="F357" s="317"/>
      <c r="G357" s="317"/>
      <c r="H357" s="317"/>
      <c r="I357" s="317"/>
      <c r="J357" s="71"/>
      <c r="K357" s="71"/>
      <c r="L357" s="71"/>
      <c r="M357" s="71"/>
      <c r="O357" s="71"/>
      <c r="P357" s="71"/>
      <c r="Q357" s="71"/>
      <c r="R357" s="71"/>
      <c r="S357" s="71"/>
      <c r="T357" s="71"/>
      <c r="U357" s="71"/>
      <c r="V357" s="71"/>
      <c r="W357" s="71"/>
      <c r="X357" s="125"/>
      <c r="AB357" s="71"/>
      <c r="AC357" s="71"/>
      <c r="AD357" s="71"/>
      <c r="AE357" s="125"/>
      <c r="AF357" s="71"/>
      <c r="AG357" s="71"/>
      <c r="AH357" s="71"/>
      <c r="AI357" s="218"/>
      <c r="AJ357" s="211"/>
      <c r="AK357" s="211"/>
      <c r="AL357" s="211"/>
      <c r="AP357" s="211"/>
      <c r="AQ357" s="211"/>
      <c r="AR357" s="211"/>
      <c r="AT357" s="211"/>
      <c r="AU357"/>
      <c r="AV357"/>
      <c r="AW357" s="211"/>
    </row>
    <row r="358" spans="2:49" x14ac:dyDescent="0.25">
      <c r="B358" s="450"/>
      <c r="C358" s="71"/>
      <c r="D358" s="71"/>
      <c r="E358" s="71"/>
      <c r="F358" s="317"/>
      <c r="G358" s="317"/>
      <c r="H358" s="317"/>
      <c r="I358" s="317"/>
      <c r="J358" s="71"/>
      <c r="K358" s="71"/>
      <c r="L358" s="71"/>
      <c r="M358" s="71"/>
      <c r="O358" s="71"/>
      <c r="P358" s="71"/>
      <c r="Q358" s="71"/>
      <c r="R358" s="71"/>
      <c r="S358" s="71"/>
      <c r="T358" s="71"/>
      <c r="U358" s="71"/>
      <c r="V358" s="71"/>
      <c r="W358" s="71"/>
      <c r="X358" s="125"/>
      <c r="AB358" s="71"/>
      <c r="AC358" s="71"/>
      <c r="AD358" s="71"/>
      <c r="AE358" s="125"/>
      <c r="AF358" s="71"/>
      <c r="AG358" s="71"/>
      <c r="AH358" s="71"/>
      <c r="AI358" s="218"/>
      <c r="AJ358" s="211"/>
      <c r="AK358" s="211"/>
      <c r="AL358" s="211"/>
      <c r="AP358" s="211"/>
      <c r="AQ358" s="211"/>
      <c r="AR358" s="211"/>
      <c r="AT358" s="211"/>
      <c r="AU358"/>
      <c r="AV358"/>
      <c r="AW358" s="211"/>
    </row>
    <row r="359" spans="2:49" x14ac:dyDescent="0.25">
      <c r="B359" s="450"/>
      <c r="C359" s="71"/>
      <c r="D359" s="71"/>
      <c r="E359" s="71"/>
      <c r="F359" s="317"/>
      <c r="G359" s="317"/>
      <c r="H359" s="317"/>
      <c r="I359" s="317"/>
      <c r="J359" s="71"/>
      <c r="K359" s="71"/>
      <c r="L359" s="71"/>
      <c r="M359" s="71"/>
      <c r="O359" s="71"/>
      <c r="P359" s="71"/>
      <c r="Q359" s="71"/>
      <c r="R359" s="71"/>
      <c r="S359" s="71"/>
      <c r="T359" s="71"/>
      <c r="U359" s="71"/>
      <c r="V359" s="71"/>
      <c r="W359" s="71"/>
      <c r="X359" s="125"/>
      <c r="AB359" s="71"/>
      <c r="AC359" s="71"/>
      <c r="AD359" s="71"/>
      <c r="AE359" s="125"/>
      <c r="AF359" s="71"/>
      <c r="AG359" s="71"/>
      <c r="AH359" s="71"/>
      <c r="AI359" s="218"/>
      <c r="AJ359" s="211"/>
      <c r="AK359" s="211"/>
      <c r="AL359" s="211"/>
      <c r="AP359" s="211"/>
      <c r="AQ359" s="211"/>
      <c r="AR359" s="211"/>
      <c r="AT359" s="211"/>
      <c r="AU359"/>
      <c r="AV359"/>
      <c r="AW359" s="211"/>
    </row>
    <row r="360" spans="2:49" x14ac:dyDescent="0.25">
      <c r="B360" s="450"/>
      <c r="C360" s="71"/>
      <c r="D360" s="71"/>
      <c r="E360" s="71"/>
      <c r="F360" s="317"/>
      <c r="G360" s="317"/>
      <c r="H360" s="317"/>
      <c r="I360" s="317"/>
      <c r="J360" s="71"/>
      <c r="K360" s="71"/>
      <c r="L360" s="71"/>
      <c r="M360" s="71"/>
      <c r="O360" s="71"/>
      <c r="P360" s="71"/>
      <c r="Q360" s="71"/>
      <c r="R360" s="71"/>
      <c r="S360" s="71"/>
      <c r="T360" s="71"/>
      <c r="U360" s="71"/>
      <c r="V360" s="71"/>
      <c r="W360" s="71"/>
      <c r="X360" s="125"/>
      <c r="AB360" s="71"/>
      <c r="AC360" s="71"/>
      <c r="AD360" s="71"/>
      <c r="AE360" s="125"/>
      <c r="AF360" s="71"/>
      <c r="AG360" s="71"/>
      <c r="AH360" s="71"/>
      <c r="AI360" s="218"/>
      <c r="AJ360" s="211"/>
      <c r="AK360" s="211"/>
      <c r="AL360" s="211"/>
      <c r="AP360" s="211"/>
      <c r="AQ360" s="211"/>
      <c r="AR360" s="211"/>
      <c r="AT360" s="211"/>
      <c r="AU360"/>
      <c r="AV360"/>
      <c r="AW360" s="211"/>
    </row>
    <row r="361" spans="2:49" x14ac:dyDescent="0.25">
      <c r="B361" s="450"/>
      <c r="C361" s="71"/>
      <c r="D361" s="71"/>
      <c r="E361" s="71"/>
      <c r="F361" s="317"/>
      <c r="G361" s="317"/>
      <c r="H361" s="317"/>
      <c r="I361" s="317"/>
      <c r="J361" s="71"/>
      <c r="K361" s="71"/>
      <c r="L361" s="71"/>
      <c r="M361" s="71"/>
      <c r="O361" s="71"/>
      <c r="P361" s="71"/>
      <c r="Q361" s="71"/>
      <c r="R361" s="71"/>
      <c r="S361" s="71"/>
      <c r="T361" s="71"/>
      <c r="U361" s="71"/>
      <c r="V361" s="71"/>
      <c r="W361" s="71"/>
      <c r="X361" s="125"/>
      <c r="AB361" s="71"/>
      <c r="AC361" s="71"/>
      <c r="AD361" s="71"/>
      <c r="AE361" s="125"/>
      <c r="AF361" s="71"/>
      <c r="AG361" s="71"/>
      <c r="AH361" s="71"/>
      <c r="AI361" s="218"/>
      <c r="AJ361" s="211"/>
      <c r="AK361" s="211"/>
      <c r="AL361" s="211"/>
      <c r="AP361" s="211"/>
      <c r="AQ361" s="211"/>
      <c r="AR361" s="211"/>
      <c r="AT361" s="211"/>
      <c r="AU361"/>
      <c r="AV361"/>
      <c r="AW361" s="211"/>
    </row>
    <row r="362" spans="2:49" x14ac:dyDescent="0.25">
      <c r="B362" s="450"/>
      <c r="C362" s="71"/>
      <c r="D362" s="71"/>
      <c r="E362" s="71"/>
      <c r="F362" s="317"/>
      <c r="G362" s="317"/>
      <c r="H362" s="317"/>
      <c r="I362" s="317"/>
      <c r="J362" s="71"/>
      <c r="K362" s="71"/>
      <c r="L362" s="71"/>
      <c r="M362" s="71"/>
      <c r="O362" s="71"/>
      <c r="P362" s="71"/>
      <c r="Q362" s="71"/>
      <c r="R362" s="71"/>
      <c r="S362" s="71"/>
      <c r="T362" s="71"/>
      <c r="U362" s="71"/>
      <c r="V362" s="71"/>
      <c r="W362" s="71"/>
      <c r="X362" s="125"/>
      <c r="AB362" s="71"/>
      <c r="AC362" s="71"/>
      <c r="AD362" s="71"/>
      <c r="AE362" s="125"/>
      <c r="AF362" s="71"/>
      <c r="AG362" s="71"/>
      <c r="AH362" s="71"/>
      <c r="AI362" s="218"/>
      <c r="AJ362" s="211"/>
      <c r="AK362" s="211"/>
      <c r="AL362" s="211"/>
      <c r="AP362" s="211"/>
      <c r="AQ362" s="211"/>
      <c r="AR362" s="211"/>
      <c r="AT362" s="211"/>
      <c r="AU362"/>
      <c r="AV362"/>
      <c r="AW362" s="211"/>
    </row>
    <row r="363" spans="2:49" x14ac:dyDescent="0.25">
      <c r="B363" s="450"/>
      <c r="C363" s="71"/>
      <c r="D363" s="71"/>
      <c r="E363" s="71"/>
      <c r="F363" s="317"/>
      <c r="G363" s="317"/>
      <c r="H363" s="317"/>
      <c r="I363" s="317"/>
      <c r="J363" s="71"/>
      <c r="K363" s="71"/>
      <c r="L363" s="71"/>
      <c r="M363" s="71"/>
      <c r="O363" s="71"/>
      <c r="P363" s="71"/>
      <c r="Q363" s="71"/>
      <c r="R363" s="71"/>
      <c r="S363" s="71"/>
      <c r="T363" s="71"/>
      <c r="U363" s="71"/>
      <c r="V363" s="71"/>
      <c r="W363" s="71"/>
      <c r="X363" s="125"/>
      <c r="AB363" s="71"/>
      <c r="AC363" s="71"/>
      <c r="AD363" s="71"/>
      <c r="AE363" s="125"/>
      <c r="AF363" s="71"/>
      <c r="AG363" s="71"/>
      <c r="AH363" s="71"/>
      <c r="AI363" s="218"/>
      <c r="AJ363" s="211"/>
      <c r="AK363" s="211"/>
      <c r="AL363" s="211"/>
      <c r="AP363" s="211"/>
      <c r="AQ363" s="211"/>
      <c r="AR363" s="211"/>
      <c r="AT363" s="211"/>
      <c r="AU363"/>
      <c r="AV363"/>
      <c r="AW363" s="211"/>
    </row>
    <row r="364" spans="2:49" x14ac:dyDescent="0.25">
      <c r="B364" s="450"/>
      <c r="C364" s="71"/>
      <c r="D364" s="71"/>
      <c r="E364" s="71"/>
      <c r="F364" s="317"/>
      <c r="G364" s="317"/>
      <c r="H364" s="317"/>
      <c r="I364" s="317"/>
      <c r="J364" s="71"/>
      <c r="K364" s="71"/>
      <c r="L364" s="71"/>
      <c r="M364" s="71"/>
      <c r="O364" s="71"/>
      <c r="P364" s="71"/>
      <c r="Q364" s="71"/>
      <c r="R364" s="71"/>
      <c r="S364" s="71"/>
      <c r="T364" s="71"/>
      <c r="U364" s="71"/>
      <c r="V364" s="71"/>
      <c r="W364" s="71"/>
      <c r="X364" s="125"/>
      <c r="AB364" s="71"/>
      <c r="AC364" s="71"/>
      <c r="AD364" s="71"/>
      <c r="AE364" s="125"/>
      <c r="AF364" s="71"/>
      <c r="AG364" s="71"/>
      <c r="AH364" s="71"/>
      <c r="AI364" s="218"/>
      <c r="AJ364" s="211"/>
      <c r="AK364" s="211"/>
      <c r="AL364" s="211"/>
      <c r="AP364" s="211"/>
      <c r="AQ364" s="211"/>
      <c r="AR364" s="211"/>
      <c r="AT364" s="211"/>
      <c r="AU364"/>
      <c r="AV364"/>
      <c r="AW364" s="211"/>
    </row>
    <row r="365" spans="2:49" x14ac:dyDescent="0.25">
      <c r="B365" s="450"/>
      <c r="C365" s="71"/>
      <c r="D365" s="71"/>
      <c r="E365" s="71"/>
      <c r="F365" s="317"/>
      <c r="G365" s="317"/>
      <c r="H365" s="317"/>
      <c r="I365" s="317"/>
      <c r="J365" s="71"/>
      <c r="K365" s="71"/>
      <c r="L365" s="71"/>
      <c r="M365" s="71"/>
      <c r="O365" s="71"/>
      <c r="P365" s="71"/>
      <c r="Q365" s="71"/>
      <c r="R365" s="71"/>
      <c r="S365" s="71"/>
      <c r="T365" s="71"/>
      <c r="U365" s="71"/>
      <c r="V365" s="71"/>
      <c r="W365" s="71"/>
      <c r="X365" s="125"/>
      <c r="AB365" s="71"/>
      <c r="AC365" s="71"/>
      <c r="AD365" s="71"/>
      <c r="AE365" s="125"/>
      <c r="AF365" s="71"/>
      <c r="AG365" s="71"/>
      <c r="AH365" s="71"/>
      <c r="AI365" s="218"/>
      <c r="AJ365" s="211"/>
      <c r="AK365" s="211"/>
      <c r="AL365" s="211"/>
      <c r="AP365" s="211"/>
      <c r="AQ365" s="211"/>
      <c r="AR365" s="211"/>
      <c r="AT365" s="211"/>
      <c r="AU365"/>
      <c r="AV365"/>
      <c r="AW365" s="211"/>
    </row>
    <row r="366" spans="2:49" x14ac:dyDescent="0.25">
      <c r="B366" s="450"/>
      <c r="C366" s="71"/>
      <c r="D366" s="71"/>
      <c r="E366" s="71"/>
      <c r="F366" s="317"/>
      <c r="G366" s="317"/>
      <c r="H366" s="317"/>
      <c r="I366" s="317"/>
      <c r="J366" s="71"/>
      <c r="K366" s="71"/>
      <c r="L366" s="71"/>
      <c r="M366" s="71"/>
      <c r="O366" s="71"/>
      <c r="P366" s="71"/>
      <c r="Q366" s="71"/>
      <c r="R366" s="71"/>
      <c r="S366" s="71"/>
      <c r="T366" s="71"/>
      <c r="U366" s="71"/>
      <c r="V366" s="71"/>
      <c r="W366" s="71"/>
      <c r="X366" s="125"/>
      <c r="AB366" s="71"/>
      <c r="AC366" s="71"/>
      <c r="AD366" s="71"/>
      <c r="AE366" s="125"/>
      <c r="AF366" s="71"/>
      <c r="AG366" s="71"/>
      <c r="AH366" s="71"/>
      <c r="AI366" s="218"/>
      <c r="AJ366" s="211"/>
      <c r="AK366" s="211"/>
      <c r="AL366" s="211"/>
      <c r="AP366" s="211"/>
      <c r="AQ366" s="211"/>
      <c r="AR366" s="211"/>
      <c r="AT366" s="211"/>
      <c r="AU366"/>
      <c r="AV366"/>
      <c r="AW366" s="211"/>
    </row>
    <row r="367" spans="2:49" x14ac:dyDescent="0.25">
      <c r="B367" s="450"/>
      <c r="C367" s="71"/>
      <c r="D367" s="71"/>
      <c r="E367" s="71"/>
      <c r="F367" s="317"/>
      <c r="G367" s="317"/>
      <c r="H367" s="317"/>
      <c r="I367" s="317"/>
      <c r="J367" s="71"/>
      <c r="K367" s="71"/>
      <c r="L367" s="71"/>
      <c r="M367" s="71"/>
      <c r="O367" s="71"/>
      <c r="P367" s="71"/>
      <c r="Q367" s="71"/>
      <c r="R367" s="71"/>
      <c r="S367" s="71"/>
      <c r="T367" s="71"/>
      <c r="U367" s="71"/>
      <c r="V367" s="71"/>
      <c r="W367" s="71"/>
      <c r="X367" s="125"/>
      <c r="AB367" s="71"/>
      <c r="AC367" s="71"/>
      <c r="AD367" s="71"/>
      <c r="AE367" s="125"/>
      <c r="AF367" s="71"/>
      <c r="AG367" s="71"/>
      <c r="AH367" s="71"/>
      <c r="AI367" s="218"/>
      <c r="AJ367" s="211"/>
      <c r="AK367" s="211"/>
      <c r="AL367" s="211"/>
      <c r="AP367" s="211"/>
      <c r="AQ367" s="211"/>
      <c r="AR367" s="211"/>
      <c r="AT367" s="211"/>
      <c r="AU367"/>
      <c r="AV367"/>
      <c r="AW367" s="211"/>
    </row>
    <row r="368" spans="2:49" x14ac:dyDescent="0.25">
      <c r="B368" s="450"/>
      <c r="C368" s="71"/>
      <c r="D368" s="71"/>
      <c r="E368" s="71"/>
      <c r="F368" s="317"/>
      <c r="G368" s="317"/>
      <c r="H368" s="317"/>
      <c r="I368" s="317"/>
      <c r="J368" s="71"/>
      <c r="K368" s="71"/>
      <c r="L368" s="71"/>
      <c r="M368" s="71"/>
      <c r="O368" s="71"/>
      <c r="P368" s="71"/>
      <c r="Q368" s="71"/>
      <c r="R368" s="71"/>
      <c r="S368" s="71"/>
      <c r="T368" s="71"/>
      <c r="U368" s="71"/>
      <c r="V368" s="71"/>
      <c r="W368" s="71"/>
      <c r="X368" s="125"/>
      <c r="AB368" s="71"/>
      <c r="AC368" s="71"/>
      <c r="AD368" s="71"/>
      <c r="AE368" s="125"/>
      <c r="AF368" s="71"/>
      <c r="AG368" s="71"/>
      <c r="AH368" s="71"/>
      <c r="AI368" s="218"/>
      <c r="AJ368" s="211"/>
      <c r="AK368" s="211"/>
      <c r="AL368" s="211"/>
      <c r="AP368" s="211"/>
      <c r="AQ368" s="211"/>
      <c r="AR368" s="211"/>
      <c r="AT368" s="211"/>
      <c r="AU368"/>
      <c r="AV368"/>
      <c r="AW368" s="211"/>
    </row>
    <row r="369" spans="2:49" x14ac:dyDescent="0.25">
      <c r="B369" s="450"/>
      <c r="C369" s="71"/>
      <c r="D369" s="71"/>
      <c r="E369" s="71"/>
      <c r="F369" s="317"/>
      <c r="G369" s="317"/>
      <c r="H369" s="317"/>
      <c r="I369" s="317"/>
      <c r="J369" s="71"/>
      <c r="K369" s="71"/>
      <c r="L369" s="71"/>
      <c r="M369" s="71"/>
      <c r="O369" s="71"/>
      <c r="P369" s="71"/>
      <c r="Q369" s="71"/>
      <c r="R369" s="71"/>
      <c r="S369" s="71"/>
      <c r="T369" s="71"/>
      <c r="U369" s="71"/>
      <c r="V369" s="71"/>
      <c r="W369" s="71"/>
      <c r="X369" s="125"/>
      <c r="AB369" s="71"/>
      <c r="AC369" s="71"/>
      <c r="AD369" s="71"/>
      <c r="AE369" s="125"/>
      <c r="AF369" s="71"/>
      <c r="AG369" s="71"/>
      <c r="AH369" s="71"/>
      <c r="AI369" s="218"/>
      <c r="AJ369" s="211"/>
      <c r="AK369" s="211"/>
      <c r="AL369" s="211"/>
      <c r="AP369" s="211"/>
      <c r="AQ369" s="211"/>
      <c r="AR369" s="211"/>
      <c r="AT369" s="211"/>
      <c r="AU369"/>
      <c r="AV369"/>
      <c r="AW369" s="211"/>
    </row>
    <row r="370" spans="2:49" x14ac:dyDescent="0.25">
      <c r="B370" s="450"/>
      <c r="C370" s="71"/>
      <c r="D370" s="71"/>
      <c r="E370" s="71"/>
      <c r="F370" s="317"/>
      <c r="G370" s="317"/>
      <c r="H370" s="317"/>
      <c r="I370" s="317"/>
      <c r="J370" s="71"/>
      <c r="K370" s="71"/>
      <c r="L370" s="71"/>
      <c r="M370" s="71"/>
      <c r="O370" s="71"/>
      <c r="P370" s="71"/>
      <c r="Q370" s="71"/>
      <c r="R370" s="71"/>
      <c r="S370" s="71"/>
      <c r="T370" s="71"/>
      <c r="U370" s="71"/>
      <c r="V370" s="71"/>
      <c r="W370" s="71"/>
      <c r="X370" s="125"/>
      <c r="AB370" s="71"/>
      <c r="AC370" s="71"/>
      <c r="AD370" s="71"/>
      <c r="AE370" s="125"/>
      <c r="AF370" s="71"/>
      <c r="AG370" s="71"/>
      <c r="AH370" s="71"/>
      <c r="AI370" s="218"/>
      <c r="AJ370" s="211"/>
      <c r="AK370" s="211"/>
      <c r="AL370" s="211"/>
      <c r="AP370" s="211"/>
      <c r="AQ370" s="211"/>
      <c r="AR370" s="211"/>
      <c r="AT370" s="211"/>
      <c r="AU370"/>
      <c r="AV370"/>
      <c r="AW370" s="211"/>
    </row>
    <row r="371" spans="2:49" x14ac:dyDescent="0.25">
      <c r="B371" s="450"/>
      <c r="C371" s="71"/>
      <c r="D371" s="71"/>
      <c r="E371" s="71"/>
      <c r="F371" s="317"/>
      <c r="G371" s="317"/>
      <c r="H371" s="317"/>
      <c r="I371" s="317"/>
      <c r="J371" s="71"/>
      <c r="K371" s="71"/>
      <c r="L371" s="71"/>
      <c r="M371" s="71"/>
      <c r="O371" s="71"/>
      <c r="P371" s="71"/>
      <c r="Q371" s="71"/>
      <c r="R371" s="71"/>
      <c r="S371" s="71"/>
      <c r="T371" s="71"/>
      <c r="U371" s="71"/>
      <c r="V371" s="71"/>
      <c r="W371" s="71"/>
      <c r="X371" s="125"/>
      <c r="AB371" s="71"/>
      <c r="AC371" s="71"/>
      <c r="AD371" s="71"/>
      <c r="AE371" s="125"/>
      <c r="AF371" s="71"/>
      <c r="AG371" s="71"/>
      <c r="AH371" s="71"/>
      <c r="AI371" s="218"/>
      <c r="AJ371" s="211"/>
      <c r="AK371" s="211"/>
      <c r="AL371" s="211"/>
      <c r="AP371" s="211"/>
      <c r="AQ371" s="211"/>
      <c r="AR371" s="211"/>
      <c r="AT371" s="211"/>
      <c r="AU371"/>
      <c r="AV371"/>
      <c r="AW371" s="211"/>
    </row>
    <row r="372" spans="2:49" x14ac:dyDescent="0.25">
      <c r="B372" s="450"/>
      <c r="C372" s="71"/>
      <c r="D372" s="71"/>
      <c r="E372" s="71"/>
      <c r="F372" s="317"/>
      <c r="G372" s="317"/>
      <c r="H372" s="317"/>
      <c r="I372" s="317"/>
      <c r="J372" s="71"/>
      <c r="K372" s="71"/>
      <c r="L372" s="71"/>
      <c r="M372" s="71"/>
      <c r="O372" s="71"/>
      <c r="P372" s="71"/>
      <c r="Q372" s="71"/>
      <c r="R372" s="71"/>
      <c r="S372" s="71"/>
      <c r="T372" s="71"/>
      <c r="U372" s="71"/>
      <c r="V372" s="71"/>
      <c r="W372" s="71"/>
      <c r="X372" s="125"/>
      <c r="AB372" s="71"/>
      <c r="AC372" s="71"/>
      <c r="AD372" s="71"/>
      <c r="AE372" s="125"/>
      <c r="AF372" s="71"/>
      <c r="AG372" s="71"/>
      <c r="AH372" s="71"/>
      <c r="AI372" s="218"/>
      <c r="AJ372" s="211"/>
      <c r="AK372" s="211"/>
      <c r="AL372" s="211"/>
      <c r="AP372" s="211"/>
      <c r="AQ372" s="211"/>
      <c r="AR372" s="211"/>
      <c r="AT372" s="211"/>
      <c r="AU372"/>
      <c r="AV372"/>
      <c r="AW372" s="211"/>
    </row>
    <row r="373" spans="2:49" x14ac:dyDescent="0.25">
      <c r="B373" s="450"/>
      <c r="C373" s="71"/>
      <c r="D373" s="71"/>
      <c r="E373" s="71"/>
      <c r="F373" s="317"/>
      <c r="G373" s="317"/>
      <c r="H373" s="317"/>
      <c r="I373" s="317"/>
      <c r="J373" s="71"/>
      <c r="K373" s="71"/>
      <c r="L373" s="71"/>
      <c r="M373" s="71"/>
      <c r="O373" s="71"/>
      <c r="P373" s="71"/>
      <c r="Q373" s="71"/>
      <c r="R373" s="71"/>
      <c r="S373" s="71"/>
      <c r="T373" s="71"/>
      <c r="U373" s="71"/>
      <c r="V373" s="71"/>
      <c r="W373" s="71"/>
      <c r="X373" s="125"/>
      <c r="AB373" s="71"/>
      <c r="AC373" s="71"/>
      <c r="AD373" s="71"/>
      <c r="AE373" s="125"/>
      <c r="AF373" s="71"/>
      <c r="AG373" s="71"/>
      <c r="AH373" s="71"/>
      <c r="AI373" s="218"/>
      <c r="AJ373" s="211"/>
      <c r="AK373" s="211"/>
      <c r="AL373" s="211"/>
      <c r="AP373" s="211"/>
      <c r="AQ373" s="211"/>
      <c r="AR373" s="211"/>
      <c r="AT373" s="211"/>
      <c r="AU373"/>
      <c r="AV373"/>
      <c r="AW373" s="211"/>
    </row>
    <row r="374" spans="2:49" x14ac:dyDescent="0.25">
      <c r="B374" s="450"/>
      <c r="C374" s="71"/>
      <c r="D374" s="71"/>
      <c r="E374" s="71"/>
      <c r="F374" s="317"/>
      <c r="G374" s="317"/>
      <c r="H374" s="317"/>
      <c r="I374" s="317"/>
      <c r="J374" s="71"/>
      <c r="K374" s="71"/>
      <c r="L374" s="71"/>
      <c r="M374" s="71"/>
      <c r="O374" s="71"/>
      <c r="P374" s="71"/>
      <c r="Q374" s="71"/>
      <c r="R374" s="71"/>
      <c r="S374" s="71"/>
      <c r="T374" s="71"/>
      <c r="U374" s="71"/>
      <c r="V374" s="71"/>
      <c r="W374" s="71"/>
      <c r="X374" s="125"/>
      <c r="AB374" s="71"/>
      <c r="AC374" s="71"/>
      <c r="AD374" s="71"/>
      <c r="AE374" s="125"/>
      <c r="AF374" s="71"/>
      <c r="AG374" s="71"/>
      <c r="AH374" s="71"/>
      <c r="AI374" s="218"/>
      <c r="AJ374" s="211"/>
      <c r="AK374" s="211"/>
      <c r="AL374" s="211"/>
      <c r="AP374" s="211"/>
      <c r="AQ374" s="211"/>
      <c r="AR374" s="211"/>
      <c r="AT374" s="211"/>
      <c r="AU374"/>
      <c r="AV374"/>
      <c r="AW374" s="211"/>
    </row>
    <row r="375" spans="2:49" x14ac:dyDescent="0.25">
      <c r="B375" s="450"/>
      <c r="C375" s="71"/>
      <c r="D375" s="71"/>
      <c r="E375" s="71"/>
      <c r="F375" s="317"/>
      <c r="G375" s="317"/>
      <c r="H375" s="317"/>
      <c r="I375" s="317"/>
      <c r="J375" s="71"/>
      <c r="K375" s="71"/>
      <c r="L375" s="71"/>
      <c r="M375" s="71"/>
      <c r="O375" s="71"/>
      <c r="P375" s="71"/>
      <c r="Q375" s="71"/>
      <c r="R375" s="71"/>
      <c r="S375" s="71"/>
      <c r="T375" s="71"/>
      <c r="U375" s="71"/>
      <c r="V375" s="71"/>
      <c r="W375" s="71"/>
      <c r="X375" s="125"/>
      <c r="AB375" s="71"/>
      <c r="AC375" s="71"/>
      <c r="AD375" s="71"/>
      <c r="AE375" s="125"/>
      <c r="AF375" s="71"/>
      <c r="AG375" s="71"/>
      <c r="AH375" s="71"/>
      <c r="AI375" s="218"/>
      <c r="AJ375" s="211"/>
      <c r="AK375" s="211"/>
      <c r="AL375" s="211"/>
      <c r="AP375" s="211"/>
      <c r="AQ375" s="211"/>
      <c r="AR375" s="211"/>
      <c r="AT375" s="211"/>
      <c r="AU375"/>
      <c r="AV375"/>
      <c r="AW375" s="211"/>
    </row>
    <row r="376" spans="2:49" x14ac:dyDescent="0.25">
      <c r="B376" s="450"/>
      <c r="C376" s="71"/>
      <c r="D376" s="71"/>
      <c r="E376" s="71"/>
      <c r="F376" s="317"/>
      <c r="G376" s="317"/>
      <c r="H376" s="317"/>
      <c r="I376" s="317"/>
      <c r="J376" s="71"/>
      <c r="K376" s="71"/>
      <c r="L376" s="71"/>
      <c r="M376" s="71"/>
      <c r="O376" s="71"/>
      <c r="P376" s="71"/>
      <c r="Q376" s="71"/>
      <c r="R376" s="71"/>
      <c r="S376" s="71"/>
      <c r="T376" s="71"/>
      <c r="U376" s="71"/>
      <c r="V376" s="71"/>
      <c r="W376" s="71"/>
      <c r="X376" s="125"/>
      <c r="AB376" s="71"/>
      <c r="AC376" s="71"/>
      <c r="AD376" s="71"/>
      <c r="AE376" s="125"/>
      <c r="AF376" s="71"/>
      <c r="AG376" s="71"/>
      <c r="AH376" s="71"/>
      <c r="AI376" s="218"/>
      <c r="AJ376" s="211"/>
      <c r="AK376" s="211"/>
      <c r="AL376" s="211"/>
      <c r="AP376" s="211"/>
      <c r="AQ376" s="211"/>
      <c r="AR376" s="211"/>
      <c r="AT376" s="211"/>
      <c r="AU376"/>
      <c r="AV376"/>
      <c r="AW376" s="211"/>
    </row>
    <row r="377" spans="2:49" x14ac:dyDescent="0.25">
      <c r="B377" s="450"/>
      <c r="C377" s="71"/>
      <c r="D377" s="71"/>
      <c r="E377" s="71"/>
      <c r="F377" s="317"/>
      <c r="G377" s="317"/>
      <c r="H377" s="317"/>
      <c r="I377" s="317"/>
      <c r="J377" s="71"/>
      <c r="K377" s="71"/>
      <c r="L377" s="71"/>
      <c r="M377" s="71"/>
      <c r="O377" s="71"/>
      <c r="P377" s="71"/>
      <c r="Q377" s="71"/>
      <c r="R377" s="71"/>
      <c r="S377" s="71"/>
      <c r="T377" s="71"/>
      <c r="U377" s="71"/>
      <c r="V377" s="71"/>
      <c r="W377" s="71"/>
      <c r="X377" s="125"/>
      <c r="AB377" s="71"/>
      <c r="AC377" s="71"/>
      <c r="AD377" s="71"/>
      <c r="AE377" s="125"/>
      <c r="AF377" s="71"/>
      <c r="AG377" s="71"/>
      <c r="AH377" s="71"/>
      <c r="AI377" s="218"/>
      <c r="AJ377" s="211"/>
      <c r="AK377" s="211"/>
      <c r="AL377" s="211"/>
      <c r="AP377" s="211"/>
      <c r="AQ377" s="211"/>
      <c r="AR377" s="211"/>
      <c r="AT377" s="211"/>
      <c r="AU377"/>
      <c r="AV377"/>
      <c r="AW377" s="211"/>
    </row>
    <row r="378" spans="2:49" x14ac:dyDescent="0.25">
      <c r="B378" s="450"/>
      <c r="C378" s="71"/>
      <c r="D378" s="71"/>
      <c r="E378" s="71"/>
      <c r="F378" s="317"/>
      <c r="G378" s="317"/>
      <c r="H378" s="317"/>
      <c r="I378" s="317"/>
      <c r="J378" s="71"/>
      <c r="K378" s="71"/>
      <c r="L378" s="71"/>
      <c r="M378" s="71"/>
      <c r="O378" s="71"/>
      <c r="P378" s="71"/>
      <c r="Q378" s="71"/>
      <c r="R378" s="71"/>
      <c r="S378" s="71"/>
      <c r="T378" s="71"/>
      <c r="U378" s="71"/>
      <c r="V378" s="71"/>
      <c r="W378" s="71"/>
      <c r="X378" s="125"/>
      <c r="AB378" s="71"/>
      <c r="AC378" s="71"/>
      <c r="AD378" s="71"/>
      <c r="AE378" s="125"/>
      <c r="AF378" s="71"/>
      <c r="AG378" s="71"/>
      <c r="AH378" s="71"/>
      <c r="AI378" s="218"/>
      <c r="AJ378" s="211"/>
      <c r="AK378" s="211"/>
      <c r="AL378" s="211"/>
      <c r="AP378" s="211"/>
      <c r="AQ378" s="211"/>
      <c r="AR378" s="211"/>
      <c r="AT378" s="211"/>
      <c r="AU378"/>
      <c r="AV378"/>
      <c r="AW378" s="211"/>
    </row>
    <row r="379" spans="2:49" x14ac:dyDescent="0.25">
      <c r="B379" s="450"/>
      <c r="C379" s="71"/>
      <c r="D379" s="71"/>
      <c r="E379" s="71"/>
      <c r="F379" s="317"/>
      <c r="G379" s="317"/>
      <c r="H379" s="317"/>
      <c r="I379" s="317"/>
      <c r="J379" s="71"/>
      <c r="K379" s="71"/>
      <c r="L379" s="71"/>
      <c r="M379" s="71"/>
      <c r="O379" s="71"/>
      <c r="P379" s="71"/>
      <c r="Q379" s="71"/>
      <c r="R379" s="71"/>
      <c r="S379" s="71"/>
      <c r="T379" s="71"/>
      <c r="U379" s="71"/>
      <c r="V379" s="71"/>
      <c r="W379" s="71"/>
      <c r="X379" s="125"/>
      <c r="AB379" s="71"/>
      <c r="AC379" s="71"/>
      <c r="AD379" s="71"/>
      <c r="AE379" s="125"/>
      <c r="AF379" s="71"/>
      <c r="AG379" s="71"/>
      <c r="AH379" s="71"/>
      <c r="AI379" s="218"/>
      <c r="AJ379" s="211"/>
      <c r="AK379" s="211"/>
      <c r="AL379" s="211"/>
      <c r="AP379" s="211"/>
      <c r="AQ379" s="211"/>
      <c r="AR379" s="211"/>
      <c r="AT379" s="211"/>
      <c r="AU379"/>
      <c r="AV379"/>
      <c r="AW379" s="211"/>
    </row>
    <row r="380" spans="2:49" x14ac:dyDescent="0.25">
      <c r="B380" s="450"/>
      <c r="C380" s="71"/>
      <c r="D380" s="71"/>
      <c r="E380" s="71"/>
      <c r="F380" s="317"/>
      <c r="G380" s="317"/>
      <c r="H380" s="317"/>
      <c r="I380" s="317"/>
      <c r="J380" s="71"/>
      <c r="K380" s="71"/>
      <c r="L380" s="71"/>
      <c r="M380" s="71"/>
      <c r="O380" s="71"/>
      <c r="P380" s="71"/>
      <c r="Q380" s="71"/>
      <c r="R380" s="71"/>
      <c r="S380" s="71"/>
      <c r="T380" s="71"/>
      <c r="U380" s="71"/>
      <c r="V380" s="71"/>
      <c r="W380" s="71"/>
      <c r="X380" s="125"/>
      <c r="AB380" s="71"/>
      <c r="AC380" s="71"/>
      <c r="AD380" s="71"/>
      <c r="AE380" s="125"/>
      <c r="AF380" s="71"/>
      <c r="AG380" s="71"/>
      <c r="AH380" s="71"/>
      <c r="AI380" s="218"/>
      <c r="AJ380" s="211"/>
      <c r="AK380" s="211"/>
      <c r="AL380" s="211"/>
      <c r="AP380" s="211"/>
      <c r="AQ380" s="211"/>
      <c r="AR380" s="211"/>
      <c r="AT380" s="211"/>
      <c r="AU380"/>
      <c r="AV380"/>
      <c r="AW380" s="211"/>
    </row>
    <row r="381" spans="2:49" x14ac:dyDescent="0.25">
      <c r="B381" s="450"/>
      <c r="C381" s="71"/>
      <c r="D381" s="71"/>
      <c r="E381" s="71"/>
      <c r="F381" s="317"/>
      <c r="G381" s="317"/>
      <c r="H381" s="317"/>
      <c r="I381" s="317"/>
      <c r="J381" s="71"/>
      <c r="K381" s="71"/>
      <c r="L381" s="71"/>
      <c r="M381" s="71"/>
      <c r="O381" s="71"/>
      <c r="P381" s="71"/>
      <c r="Q381" s="71"/>
      <c r="R381" s="71"/>
      <c r="S381" s="71"/>
      <c r="T381" s="71"/>
      <c r="U381" s="71"/>
      <c r="V381" s="71"/>
      <c r="W381" s="71"/>
      <c r="X381" s="125"/>
      <c r="AB381" s="71"/>
      <c r="AC381" s="71"/>
      <c r="AD381" s="71"/>
      <c r="AE381" s="125"/>
      <c r="AF381" s="71"/>
      <c r="AG381" s="71"/>
      <c r="AH381" s="71"/>
      <c r="AI381" s="218"/>
      <c r="AJ381" s="211"/>
      <c r="AK381" s="211"/>
      <c r="AL381" s="211"/>
      <c r="AP381" s="211"/>
      <c r="AQ381" s="211"/>
      <c r="AR381" s="211"/>
      <c r="AT381" s="211"/>
      <c r="AU381"/>
      <c r="AV381"/>
      <c r="AW381" s="211"/>
    </row>
    <row r="382" spans="2:49" x14ac:dyDescent="0.25">
      <c r="B382" s="450"/>
      <c r="C382" s="71"/>
      <c r="D382" s="71"/>
      <c r="E382" s="71"/>
      <c r="F382" s="317"/>
      <c r="G382" s="317"/>
      <c r="H382" s="317"/>
      <c r="I382" s="317"/>
      <c r="J382" s="71"/>
      <c r="K382" s="71"/>
      <c r="L382" s="71"/>
      <c r="M382" s="71"/>
      <c r="O382" s="71"/>
      <c r="P382" s="71"/>
      <c r="Q382" s="71"/>
      <c r="R382" s="71"/>
      <c r="S382" s="71"/>
      <c r="T382" s="71"/>
      <c r="U382" s="71"/>
      <c r="V382" s="71"/>
      <c r="W382" s="71"/>
      <c r="X382" s="125"/>
      <c r="AB382" s="71"/>
      <c r="AC382" s="71"/>
      <c r="AD382" s="71"/>
      <c r="AE382" s="125"/>
      <c r="AF382" s="71"/>
      <c r="AG382" s="71"/>
      <c r="AH382" s="71"/>
      <c r="AI382" s="218"/>
      <c r="AJ382" s="211"/>
      <c r="AK382" s="211"/>
      <c r="AL382" s="211"/>
      <c r="AP382" s="211"/>
      <c r="AQ382" s="211"/>
      <c r="AR382" s="211"/>
      <c r="AT382" s="211"/>
      <c r="AU382"/>
      <c r="AV382"/>
      <c r="AW382" s="211"/>
    </row>
    <row r="383" spans="2:49" x14ac:dyDescent="0.25">
      <c r="B383" s="450"/>
      <c r="C383" s="71"/>
      <c r="D383" s="71"/>
      <c r="E383" s="71"/>
      <c r="F383" s="317"/>
      <c r="G383" s="317"/>
      <c r="H383" s="317"/>
      <c r="I383" s="317"/>
      <c r="J383" s="71"/>
      <c r="K383" s="71"/>
      <c r="L383" s="71"/>
      <c r="M383" s="71"/>
      <c r="O383" s="71"/>
      <c r="P383" s="71"/>
      <c r="Q383" s="71"/>
      <c r="R383" s="71"/>
      <c r="S383" s="71"/>
      <c r="T383" s="71"/>
      <c r="U383" s="71"/>
      <c r="V383" s="71"/>
      <c r="W383" s="71"/>
      <c r="X383" s="125"/>
      <c r="AB383" s="71"/>
      <c r="AC383" s="71"/>
      <c r="AD383" s="71"/>
      <c r="AE383" s="125"/>
      <c r="AF383" s="71"/>
      <c r="AG383" s="71"/>
      <c r="AH383" s="71"/>
      <c r="AI383" s="218"/>
      <c r="AJ383" s="211"/>
      <c r="AK383" s="211"/>
      <c r="AL383" s="211"/>
      <c r="AP383" s="211"/>
      <c r="AQ383" s="211"/>
      <c r="AR383" s="211"/>
      <c r="AT383" s="211"/>
      <c r="AU383"/>
      <c r="AV383"/>
      <c r="AW383" s="211"/>
    </row>
    <row r="384" spans="2:49" x14ac:dyDescent="0.25">
      <c r="B384" s="450"/>
      <c r="C384" s="71"/>
      <c r="D384" s="71"/>
      <c r="E384" s="71"/>
      <c r="F384" s="317"/>
      <c r="G384" s="317"/>
      <c r="H384" s="317"/>
      <c r="I384" s="317"/>
      <c r="J384" s="71"/>
      <c r="K384" s="71"/>
      <c r="L384" s="71"/>
      <c r="M384" s="71"/>
      <c r="O384" s="71"/>
      <c r="P384" s="71"/>
      <c r="Q384" s="71"/>
      <c r="R384" s="71"/>
      <c r="S384" s="71"/>
      <c r="T384" s="71"/>
      <c r="U384" s="71"/>
      <c r="V384" s="71"/>
      <c r="W384" s="71"/>
      <c r="X384" s="125"/>
      <c r="AB384" s="71"/>
      <c r="AC384" s="71"/>
      <c r="AD384" s="71"/>
      <c r="AE384" s="125"/>
      <c r="AF384" s="71"/>
      <c r="AG384" s="71"/>
      <c r="AH384" s="71"/>
      <c r="AI384" s="218"/>
      <c r="AJ384" s="211"/>
      <c r="AK384" s="211"/>
      <c r="AL384" s="211"/>
      <c r="AP384" s="211"/>
      <c r="AQ384" s="211"/>
      <c r="AR384" s="211"/>
      <c r="AT384" s="211"/>
      <c r="AU384"/>
      <c r="AV384"/>
      <c r="AW384" s="211"/>
    </row>
    <row r="385" spans="2:49" x14ac:dyDescent="0.25">
      <c r="B385" s="450"/>
      <c r="C385" s="71"/>
      <c r="D385" s="71"/>
      <c r="E385" s="71"/>
      <c r="F385" s="317"/>
      <c r="G385" s="317"/>
      <c r="H385" s="317"/>
      <c r="I385" s="317"/>
      <c r="J385" s="71"/>
      <c r="K385" s="71"/>
      <c r="L385" s="71"/>
      <c r="M385" s="71"/>
      <c r="O385" s="71"/>
      <c r="P385" s="71"/>
      <c r="Q385" s="71"/>
      <c r="R385" s="71"/>
      <c r="S385" s="71"/>
      <c r="T385" s="71"/>
      <c r="U385" s="71"/>
      <c r="V385" s="71"/>
      <c r="W385" s="71"/>
      <c r="X385" s="125"/>
      <c r="AB385" s="71"/>
      <c r="AC385" s="71"/>
      <c r="AD385" s="71"/>
      <c r="AE385" s="125"/>
      <c r="AF385" s="71"/>
      <c r="AG385" s="71"/>
      <c r="AH385" s="71"/>
      <c r="AI385" s="218"/>
      <c r="AJ385" s="211"/>
      <c r="AK385" s="211"/>
      <c r="AL385" s="211"/>
      <c r="AP385" s="211"/>
      <c r="AQ385" s="211"/>
      <c r="AR385" s="211"/>
      <c r="AT385" s="211"/>
      <c r="AU385"/>
      <c r="AV385"/>
      <c r="AW385" s="211"/>
    </row>
    <row r="386" spans="2:49" x14ac:dyDescent="0.25">
      <c r="B386" s="450"/>
      <c r="C386" s="71"/>
      <c r="D386" s="71"/>
      <c r="E386" s="71"/>
      <c r="F386" s="317"/>
      <c r="G386" s="317"/>
      <c r="H386" s="317"/>
      <c r="I386" s="317"/>
      <c r="J386" s="71"/>
      <c r="K386" s="71"/>
      <c r="L386" s="71"/>
      <c r="M386" s="71"/>
      <c r="O386" s="71"/>
      <c r="P386" s="71"/>
      <c r="Q386" s="71"/>
      <c r="R386" s="71"/>
      <c r="S386" s="71"/>
      <c r="T386" s="71"/>
      <c r="U386" s="71"/>
      <c r="V386" s="71"/>
      <c r="W386" s="71"/>
      <c r="X386" s="125"/>
      <c r="AB386" s="71"/>
      <c r="AC386" s="71"/>
      <c r="AD386" s="71"/>
      <c r="AE386" s="125"/>
      <c r="AF386" s="71"/>
      <c r="AG386" s="71"/>
      <c r="AH386" s="71"/>
      <c r="AI386" s="218"/>
      <c r="AJ386" s="211"/>
      <c r="AK386" s="211"/>
      <c r="AL386" s="211"/>
      <c r="AP386" s="211"/>
      <c r="AQ386" s="211"/>
      <c r="AR386" s="211"/>
      <c r="AT386" s="211"/>
      <c r="AU386"/>
      <c r="AV386"/>
      <c r="AW386" s="211"/>
    </row>
    <row r="387" spans="2:49" x14ac:dyDescent="0.25">
      <c r="B387" s="450"/>
      <c r="C387" s="71"/>
      <c r="D387" s="71"/>
      <c r="E387" s="71"/>
      <c r="F387" s="317"/>
      <c r="G387" s="317"/>
      <c r="H387" s="317"/>
      <c r="I387" s="317"/>
      <c r="J387" s="71"/>
      <c r="K387" s="71"/>
      <c r="L387" s="71"/>
      <c r="M387" s="71"/>
      <c r="O387" s="71"/>
      <c r="P387" s="71"/>
      <c r="Q387" s="71"/>
      <c r="R387" s="71"/>
      <c r="S387" s="71"/>
      <c r="T387" s="71"/>
      <c r="U387" s="71"/>
      <c r="V387" s="71"/>
      <c r="W387" s="71"/>
      <c r="X387" s="125"/>
      <c r="AB387" s="71"/>
      <c r="AC387" s="71"/>
      <c r="AD387" s="71"/>
      <c r="AE387" s="125"/>
      <c r="AF387" s="71"/>
      <c r="AG387" s="71"/>
      <c r="AH387" s="71"/>
      <c r="AI387" s="218"/>
      <c r="AJ387" s="211"/>
      <c r="AK387" s="211"/>
      <c r="AL387" s="211"/>
      <c r="AP387" s="211"/>
      <c r="AQ387" s="211"/>
      <c r="AR387" s="211"/>
      <c r="AT387" s="211"/>
      <c r="AU387"/>
      <c r="AV387"/>
      <c r="AW387" s="211"/>
    </row>
    <row r="388" spans="2:49" x14ac:dyDescent="0.25">
      <c r="B388" s="450"/>
      <c r="C388" s="71"/>
      <c r="D388" s="71"/>
      <c r="E388" s="71"/>
      <c r="F388" s="317"/>
      <c r="G388" s="317"/>
      <c r="H388" s="317"/>
      <c r="I388" s="317"/>
      <c r="J388" s="71"/>
      <c r="K388" s="71"/>
      <c r="L388" s="71"/>
      <c r="M388" s="71"/>
      <c r="O388" s="71"/>
      <c r="P388" s="71"/>
      <c r="Q388" s="71"/>
      <c r="R388" s="71"/>
      <c r="S388" s="71"/>
      <c r="T388" s="71"/>
      <c r="U388" s="71"/>
      <c r="V388" s="71"/>
      <c r="W388" s="71"/>
      <c r="X388" s="125"/>
      <c r="AB388" s="71"/>
      <c r="AC388" s="71"/>
      <c r="AD388" s="71"/>
      <c r="AE388" s="125"/>
      <c r="AF388" s="71"/>
      <c r="AG388" s="71"/>
      <c r="AH388" s="71"/>
      <c r="AI388" s="218"/>
      <c r="AJ388" s="211"/>
      <c r="AK388" s="211"/>
      <c r="AL388" s="211"/>
      <c r="AP388" s="211"/>
      <c r="AQ388" s="211"/>
      <c r="AR388" s="211"/>
      <c r="AT388" s="211"/>
      <c r="AU388"/>
      <c r="AV388"/>
      <c r="AW388" s="211"/>
    </row>
    <row r="389" spans="2:49" x14ac:dyDescent="0.25">
      <c r="B389" s="450"/>
      <c r="C389" s="71"/>
      <c r="D389" s="71"/>
      <c r="E389" s="71"/>
      <c r="F389" s="317"/>
      <c r="G389" s="317"/>
      <c r="H389" s="317"/>
      <c r="I389" s="317"/>
      <c r="J389" s="71"/>
      <c r="K389" s="71"/>
      <c r="L389" s="71"/>
      <c r="M389" s="71"/>
      <c r="O389" s="71"/>
      <c r="P389" s="71"/>
      <c r="Q389" s="71"/>
      <c r="R389" s="71"/>
      <c r="S389" s="71"/>
      <c r="T389" s="71"/>
      <c r="U389" s="71"/>
      <c r="V389" s="71"/>
      <c r="W389" s="71"/>
      <c r="X389" s="125"/>
      <c r="AB389" s="71"/>
      <c r="AC389" s="71"/>
      <c r="AD389" s="71"/>
      <c r="AE389" s="125"/>
      <c r="AF389" s="71"/>
      <c r="AG389" s="71"/>
      <c r="AH389" s="71"/>
      <c r="AI389" s="218"/>
      <c r="AJ389" s="211"/>
      <c r="AK389" s="211"/>
      <c r="AL389" s="211"/>
      <c r="AP389" s="211"/>
      <c r="AQ389" s="211"/>
      <c r="AR389" s="211"/>
      <c r="AT389" s="211"/>
      <c r="AU389"/>
      <c r="AV389"/>
      <c r="AW389" s="211"/>
    </row>
    <row r="390" spans="2:49" x14ac:dyDescent="0.25">
      <c r="B390" s="450"/>
      <c r="C390" s="71"/>
      <c r="D390" s="71"/>
      <c r="E390" s="71"/>
      <c r="F390" s="317"/>
      <c r="G390" s="317"/>
      <c r="H390" s="317"/>
      <c r="I390" s="317"/>
      <c r="J390" s="71"/>
      <c r="K390" s="71"/>
      <c r="L390" s="71"/>
      <c r="M390" s="71"/>
      <c r="O390" s="71"/>
      <c r="P390" s="71"/>
      <c r="Q390" s="71"/>
      <c r="R390" s="71"/>
      <c r="S390" s="71"/>
      <c r="T390" s="71"/>
      <c r="U390" s="71"/>
      <c r="V390" s="71"/>
      <c r="W390" s="71"/>
      <c r="X390" s="125"/>
      <c r="AB390" s="71"/>
      <c r="AC390" s="71"/>
      <c r="AD390" s="71"/>
      <c r="AE390" s="125"/>
      <c r="AF390" s="71"/>
      <c r="AG390" s="71"/>
      <c r="AH390" s="71"/>
      <c r="AI390" s="218"/>
      <c r="AJ390" s="211"/>
      <c r="AK390" s="211"/>
      <c r="AL390" s="211"/>
      <c r="AP390" s="211"/>
      <c r="AQ390" s="211"/>
      <c r="AR390" s="211"/>
      <c r="AT390" s="211"/>
      <c r="AU390"/>
      <c r="AV390"/>
      <c r="AW390" s="211"/>
    </row>
    <row r="391" spans="2:49" x14ac:dyDescent="0.25">
      <c r="B391" s="450"/>
      <c r="C391" s="71"/>
      <c r="D391" s="71"/>
      <c r="E391" s="71"/>
      <c r="F391" s="317"/>
      <c r="G391" s="317"/>
      <c r="H391" s="317"/>
      <c r="I391" s="317"/>
      <c r="J391" s="71"/>
      <c r="K391" s="71"/>
      <c r="L391" s="71"/>
      <c r="M391" s="71"/>
      <c r="O391" s="71"/>
      <c r="P391" s="71"/>
      <c r="Q391" s="71"/>
      <c r="R391" s="71"/>
      <c r="S391" s="71"/>
      <c r="T391" s="71"/>
      <c r="U391" s="71"/>
      <c r="V391" s="71"/>
      <c r="W391" s="71"/>
      <c r="X391" s="125"/>
      <c r="AB391" s="71"/>
      <c r="AC391" s="71"/>
      <c r="AD391" s="71"/>
      <c r="AE391" s="125"/>
      <c r="AF391" s="71"/>
      <c r="AG391" s="71"/>
      <c r="AH391" s="71"/>
      <c r="AI391" s="218"/>
      <c r="AJ391" s="211"/>
      <c r="AK391" s="211"/>
      <c r="AL391" s="211"/>
      <c r="AP391" s="211"/>
      <c r="AQ391" s="211"/>
      <c r="AR391" s="211"/>
      <c r="AT391" s="211"/>
      <c r="AU391"/>
      <c r="AV391"/>
      <c r="AW391" s="211"/>
    </row>
    <row r="392" spans="2:49" x14ac:dyDescent="0.25">
      <c r="B392" s="450"/>
      <c r="C392" s="71"/>
      <c r="D392" s="71"/>
      <c r="E392" s="71"/>
      <c r="F392" s="317"/>
      <c r="G392" s="317"/>
      <c r="H392" s="317"/>
      <c r="I392" s="317"/>
      <c r="J392" s="71"/>
      <c r="K392" s="71"/>
      <c r="L392" s="71"/>
      <c r="M392" s="71"/>
      <c r="O392" s="71"/>
      <c r="P392" s="71"/>
      <c r="Q392" s="71"/>
      <c r="R392" s="71"/>
      <c r="S392" s="71"/>
      <c r="T392" s="71"/>
      <c r="U392" s="71"/>
      <c r="V392" s="71"/>
      <c r="W392" s="71"/>
      <c r="X392" s="125"/>
      <c r="AB392" s="71"/>
      <c r="AC392" s="71"/>
      <c r="AD392" s="71"/>
      <c r="AE392" s="125"/>
      <c r="AF392" s="71"/>
      <c r="AG392" s="71"/>
      <c r="AH392" s="71"/>
      <c r="AI392" s="218"/>
      <c r="AJ392" s="211"/>
      <c r="AK392" s="211"/>
      <c r="AL392" s="211"/>
      <c r="AP392" s="211"/>
      <c r="AQ392" s="211"/>
      <c r="AR392" s="211"/>
      <c r="AT392" s="211"/>
      <c r="AU392"/>
      <c r="AV392"/>
      <c r="AW392" s="211"/>
    </row>
    <row r="393" spans="2:49" x14ac:dyDescent="0.25">
      <c r="AJ393" s="211"/>
      <c r="AK393" s="211"/>
      <c r="AL393" s="211"/>
      <c r="AP393" s="379"/>
      <c r="AQ393" s="379"/>
      <c r="AR393" s="403"/>
      <c r="AT393" s="211"/>
      <c r="AU393"/>
      <c r="AV393"/>
      <c r="AW393" s="211"/>
    </row>
    <row r="394" spans="2:49" x14ac:dyDescent="0.25">
      <c r="AJ394" s="211"/>
      <c r="AK394" s="211"/>
      <c r="AL394" s="211"/>
      <c r="AR394" s="222"/>
      <c r="AT394" s="211"/>
      <c r="AU394"/>
      <c r="AV394"/>
      <c r="AW394" s="211"/>
    </row>
    <row r="395" spans="2:49" x14ac:dyDescent="0.25">
      <c r="AJ395" s="211"/>
      <c r="AK395" s="211"/>
      <c r="AL395" s="211"/>
      <c r="AR395" s="222"/>
      <c r="AT395" s="211"/>
      <c r="AU395"/>
      <c r="AV395"/>
      <c r="AW395" s="211"/>
    </row>
    <row r="396" spans="2:49" x14ac:dyDescent="0.25">
      <c r="AJ396" s="211"/>
      <c r="AK396" s="211"/>
      <c r="AL396" s="211"/>
      <c r="AR396" s="222"/>
      <c r="AT396" s="211"/>
      <c r="AU396"/>
      <c r="AV396"/>
      <c r="AW396" s="211"/>
    </row>
    <row r="397" spans="2:49" x14ac:dyDescent="0.25">
      <c r="AJ397" s="211"/>
      <c r="AK397" s="211"/>
      <c r="AL397" s="211"/>
      <c r="AR397" s="222"/>
      <c r="AT397" s="211"/>
      <c r="AU397"/>
      <c r="AV397"/>
      <c r="AW397" s="211"/>
    </row>
    <row r="398" spans="2:49" x14ac:dyDescent="0.25">
      <c r="AJ398" s="211"/>
      <c r="AK398" s="211"/>
      <c r="AL398" s="211"/>
      <c r="AR398" s="222"/>
      <c r="AT398" s="211"/>
      <c r="AU398"/>
      <c r="AV398"/>
      <c r="AW398" s="211"/>
    </row>
    <row r="399" spans="2:49" x14ac:dyDescent="0.25">
      <c r="AJ399" s="211"/>
      <c r="AK399" s="211"/>
      <c r="AL399" s="211"/>
      <c r="AR399" s="222"/>
      <c r="AT399" s="211"/>
      <c r="AU399"/>
      <c r="AV399"/>
      <c r="AW399" s="211"/>
    </row>
    <row r="400" spans="2:49" x14ac:dyDescent="0.25">
      <c r="AJ400" s="211"/>
      <c r="AK400" s="211"/>
      <c r="AL400" s="211"/>
      <c r="AR400" s="222"/>
      <c r="AT400" s="211"/>
      <c r="AU400"/>
      <c r="AV400"/>
      <c r="AW400" s="211"/>
    </row>
    <row r="401" spans="36:49" x14ac:dyDescent="0.25">
      <c r="AJ401" s="211"/>
      <c r="AK401" s="211"/>
      <c r="AL401" s="211"/>
      <c r="AR401" s="222"/>
      <c r="AT401" s="211"/>
      <c r="AU401"/>
      <c r="AV401"/>
      <c r="AW401" s="211"/>
    </row>
    <row r="402" spans="36:49" x14ac:dyDescent="0.25">
      <c r="AJ402" s="211"/>
      <c r="AK402" s="211"/>
      <c r="AL402" s="211"/>
      <c r="AR402" s="222"/>
      <c r="AT402" s="211"/>
      <c r="AU402"/>
      <c r="AV402"/>
      <c r="AW402" s="211"/>
    </row>
    <row r="403" spans="36:49" x14ac:dyDescent="0.25">
      <c r="AJ403" s="211"/>
      <c r="AK403" s="211"/>
      <c r="AL403" s="211"/>
      <c r="AR403" s="222"/>
      <c r="AT403" s="211"/>
      <c r="AU403"/>
      <c r="AV403"/>
      <c r="AW403" s="211"/>
    </row>
    <row r="404" spans="36:49" x14ac:dyDescent="0.25">
      <c r="AJ404" s="211"/>
      <c r="AK404" s="211"/>
      <c r="AL404" s="211"/>
      <c r="AR404" s="222"/>
      <c r="AT404" s="211"/>
      <c r="AU404"/>
      <c r="AV404"/>
      <c r="AW404" s="211"/>
    </row>
    <row r="405" spans="36:49" x14ac:dyDescent="0.25">
      <c r="AJ405" s="211"/>
      <c r="AK405" s="211"/>
      <c r="AL405" s="211"/>
      <c r="AR405" s="222"/>
      <c r="AT405" s="211"/>
      <c r="AU405"/>
      <c r="AV405"/>
      <c r="AW405" s="211"/>
    </row>
    <row r="406" spans="36:49" x14ac:dyDescent="0.25">
      <c r="AJ406" s="211"/>
      <c r="AK406" s="211"/>
      <c r="AL406" s="211"/>
      <c r="AR406" s="222"/>
      <c r="AT406" s="211"/>
      <c r="AU406"/>
      <c r="AV406"/>
      <c r="AW406" s="211"/>
    </row>
    <row r="407" spans="36:49" x14ac:dyDescent="0.25">
      <c r="AJ407" s="211"/>
      <c r="AK407" s="211"/>
      <c r="AL407" s="211"/>
      <c r="AR407" s="222"/>
      <c r="AT407" s="211"/>
      <c r="AU407"/>
      <c r="AV407"/>
      <c r="AW407" s="211"/>
    </row>
    <row r="408" spans="36:49" x14ac:dyDescent="0.25">
      <c r="AJ408" s="211"/>
      <c r="AK408" s="211"/>
      <c r="AL408" s="211"/>
      <c r="AR408" s="222"/>
      <c r="AT408" s="211"/>
      <c r="AU408"/>
      <c r="AV408"/>
      <c r="AW408" s="211"/>
    </row>
    <row r="409" spans="36:49" x14ac:dyDescent="0.25">
      <c r="AJ409" s="211"/>
      <c r="AK409" s="211"/>
      <c r="AL409" s="211"/>
      <c r="AR409" s="222"/>
      <c r="AT409" s="211"/>
      <c r="AU409"/>
      <c r="AV409"/>
      <c r="AW409" s="211"/>
    </row>
    <row r="410" spans="36:49" x14ac:dyDescent="0.25">
      <c r="AJ410" s="211"/>
      <c r="AK410" s="211"/>
      <c r="AL410" s="211"/>
      <c r="AR410" s="222"/>
      <c r="AT410" s="211"/>
      <c r="AU410"/>
      <c r="AV410"/>
      <c r="AW410" s="211"/>
    </row>
    <row r="411" spans="36:49" x14ac:dyDescent="0.25">
      <c r="AJ411" s="211"/>
      <c r="AK411" s="211"/>
      <c r="AL411" s="211"/>
      <c r="AR411" s="222"/>
      <c r="AT411" s="211"/>
      <c r="AU411"/>
      <c r="AV411"/>
      <c r="AW411" s="211"/>
    </row>
    <row r="412" spans="36:49" x14ac:dyDescent="0.25">
      <c r="AJ412" s="211"/>
      <c r="AK412" s="211"/>
      <c r="AL412" s="211"/>
      <c r="AR412" s="222"/>
      <c r="AT412" s="211"/>
      <c r="AU412"/>
      <c r="AV412"/>
      <c r="AW412" s="211"/>
    </row>
    <row r="413" spans="36:49" x14ac:dyDescent="0.25">
      <c r="AJ413" s="211"/>
      <c r="AK413" s="211"/>
      <c r="AL413" s="211"/>
      <c r="AR413" s="222"/>
      <c r="AT413" s="211"/>
      <c r="AU413"/>
      <c r="AV413"/>
      <c r="AW413" s="211"/>
    </row>
    <row r="414" spans="36:49" x14ac:dyDescent="0.25">
      <c r="AJ414" s="211"/>
      <c r="AK414" s="211"/>
      <c r="AL414" s="211"/>
      <c r="AR414" s="222"/>
      <c r="AT414" s="211"/>
      <c r="AU414"/>
      <c r="AV414"/>
      <c r="AW414" s="211"/>
    </row>
    <row r="415" spans="36:49" x14ac:dyDescent="0.25">
      <c r="AJ415" s="211"/>
      <c r="AK415" s="211"/>
      <c r="AL415" s="211"/>
      <c r="AR415" s="222"/>
      <c r="AT415" s="211"/>
      <c r="AU415"/>
      <c r="AV415"/>
      <c r="AW415" s="211"/>
    </row>
    <row r="416" spans="36:49" x14ac:dyDescent="0.25">
      <c r="AJ416" s="211"/>
      <c r="AK416" s="211"/>
      <c r="AL416" s="211"/>
      <c r="AR416" s="222"/>
      <c r="AT416" s="211"/>
      <c r="AU416"/>
      <c r="AV416"/>
      <c r="AW416" s="211"/>
    </row>
    <row r="417" spans="36:49" x14ac:dyDescent="0.25">
      <c r="AJ417" s="211"/>
      <c r="AK417" s="211"/>
      <c r="AL417" s="211"/>
      <c r="AR417" s="222"/>
      <c r="AT417" s="211"/>
      <c r="AU417"/>
      <c r="AV417"/>
      <c r="AW417" s="211"/>
    </row>
    <row r="418" spans="36:49" x14ac:dyDescent="0.25">
      <c r="AJ418" s="211"/>
      <c r="AK418" s="211"/>
      <c r="AL418" s="211"/>
      <c r="AR418" s="222"/>
      <c r="AT418" s="211"/>
      <c r="AU418"/>
      <c r="AV418"/>
      <c r="AW418" s="211"/>
    </row>
    <row r="419" spans="36:49" x14ac:dyDescent="0.25">
      <c r="AJ419" s="211"/>
      <c r="AK419" s="211"/>
      <c r="AL419" s="211"/>
      <c r="AR419" s="222"/>
      <c r="AT419" s="211"/>
      <c r="AU419"/>
      <c r="AV419"/>
      <c r="AW419" s="211"/>
    </row>
    <row r="420" spans="36:49" x14ac:dyDescent="0.25">
      <c r="AJ420" s="211"/>
      <c r="AK420" s="211"/>
      <c r="AL420" s="211"/>
      <c r="AR420" s="222"/>
      <c r="AT420" s="211"/>
      <c r="AU420"/>
      <c r="AV420"/>
      <c r="AW420" s="211"/>
    </row>
    <row r="421" spans="36:49" x14ac:dyDescent="0.25">
      <c r="AJ421" s="211"/>
      <c r="AK421" s="211"/>
      <c r="AL421" s="211"/>
      <c r="AR421" s="222"/>
      <c r="AT421" s="211"/>
      <c r="AU421"/>
      <c r="AV421"/>
      <c r="AW421" s="211"/>
    </row>
    <row r="422" spans="36:49" x14ac:dyDescent="0.25">
      <c r="AJ422" s="211"/>
      <c r="AK422" s="211"/>
      <c r="AL422" s="211"/>
      <c r="AR422" s="222"/>
      <c r="AT422" s="211"/>
      <c r="AU422"/>
      <c r="AV422"/>
      <c r="AW422" s="211"/>
    </row>
    <row r="423" spans="36:49" x14ac:dyDescent="0.25">
      <c r="AJ423" s="211"/>
      <c r="AK423" s="211"/>
      <c r="AL423" s="211"/>
      <c r="AR423" s="222"/>
      <c r="AT423" s="211"/>
      <c r="AU423"/>
      <c r="AV423"/>
      <c r="AW423" s="211"/>
    </row>
    <row r="424" spans="36:49" x14ac:dyDescent="0.25">
      <c r="AJ424" s="211"/>
      <c r="AK424" s="211"/>
      <c r="AL424" s="211"/>
      <c r="AR424" s="222"/>
      <c r="AT424" s="211"/>
      <c r="AU424"/>
      <c r="AV424"/>
      <c r="AW424" s="211"/>
    </row>
    <row r="425" spans="36:49" x14ac:dyDescent="0.25">
      <c r="AJ425" s="211"/>
      <c r="AK425" s="211"/>
      <c r="AL425" s="211"/>
      <c r="AR425" s="222"/>
      <c r="AT425" s="211"/>
      <c r="AU425"/>
      <c r="AV425"/>
      <c r="AW425" s="211"/>
    </row>
    <row r="426" spans="36:49" x14ac:dyDescent="0.25">
      <c r="AJ426" s="211"/>
      <c r="AK426" s="211"/>
      <c r="AL426" s="211"/>
      <c r="AR426" s="222"/>
      <c r="AT426" s="211"/>
      <c r="AU426"/>
      <c r="AV426"/>
      <c r="AW426" s="211"/>
    </row>
    <row r="427" spans="36:49" x14ac:dyDescent="0.25">
      <c r="AJ427" s="211"/>
      <c r="AK427" s="211"/>
      <c r="AL427" s="211"/>
      <c r="AR427" s="222"/>
      <c r="AT427" s="211"/>
      <c r="AU427"/>
      <c r="AV427"/>
      <c r="AW427" s="211"/>
    </row>
    <row r="428" spans="36:49" x14ac:dyDescent="0.25">
      <c r="AJ428" s="211"/>
      <c r="AK428" s="211"/>
      <c r="AL428" s="211"/>
      <c r="AR428" s="222"/>
      <c r="AT428" s="211"/>
      <c r="AU428"/>
      <c r="AV428"/>
      <c r="AW428" s="211"/>
    </row>
    <row r="429" spans="36:49" x14ac:dyDescent="0.25">
      <c r="AJ429" s="211"/>
      <c r="AK429" s="211"/>
      <c r="AL429" s="211"/>
      <c r="AR429" s="222"/>
      <c r="AT429" s="211"/>
      <c r="AU429"/>
      <c r="AV429"/>
      <c r="AW429" s="211"/>
    </row>
    <row r="430" spans="36:49" x14ac:dyDescent="0.25">
      <c r="AJ430" s="211"/>
      <c r="AK430" s="211"/>
      <c r="AL430" s="211"/>
      <c r="AR430" s="222"/>
      <c r="AT430" s="211"/>
      <c r="AU430"/>
      <c r="AV430"/>
      <c r="AW430" s="211"/>
    </row>
    <row r="431" spans="36:49" x14ac:dyDescent="0.25">
      <c r="AJ431" s="211"/>
      <c r="AK431" s="211"/>
      <c r="AL431" s="211"/>
      <c r="AR431" s="222"/>
      <c r="AT431" s="211"/>
      <c r="AU431"/>
      <c r="AV431"/>
      <c r="AW431" s="211"/>
    </row>
    <row r="432" spans="36:49" x14ac:dyDescent="0.25">
      <c r="AJ432" s="211"/>
      <c r="AK432" s="211"/>
      <c r="AL432" s="211"/>
      <c r="AR432" s="222"/>
      <c r="AT432" s="211"/>
      <c r="AU432"/>
      <c r="AV432"/>
      <c r="AW432" s="211"/>
    </row>
    <row r="433" spans="36:49" x14ac:dyDescent="0.25">
      <c r="AJ433" s="211"/>
      <c r="AK433" s="211"/>
      <c r="AL433" s="211"/>
      <c r="AR433" s="222"/>
      <c r="AT433" s="211"/>
      <c r="AU433"/>
      <c r="AV433"/>
      <c r="AW433" s="211"/>
    </row>
    <row r="434" spans="36:49" x14ac:dyDescent="0.25">
      <c r="AJ434" s="211"/>
      <c r="AK434" s="211"/>
      <c r="AL434" s="211"/>
      <c r="AR434" s="222"/>
      <c r="AT434" s="211"/>
      <c r="AU434"/>
      <c r="AV434"/>
      <c r="AW434" s="211"/>
    </row>
    <row r="435" spans="36:49" x14ac:dyDescent="0.25">
      <c r="AJ435" s="211"/>
      <c r="AK435" s="211"/>
      <c r="AL435" s="211"/>
      <c r="AR435" s="222"/>
      <c r="AT435" s="211"/>
      <c r="AU435"/>
      <c r="AV435"/>
      <c r="AW435" s="211"/>
    </row>
    <row r="436" spans="36:49" x14ac:dyDescent="0.25">
      <c r="AJ436" s="211"/>
      <c r="AK436" s="211"/>
      <c r="AL436" s="211"/>
      <c r="AR436" s="222"/>
      <c r="AT436" s="211"/>
      <c r="AU436"/>
      <c r="AV436"/>
      <c r="AW436" s="211"/>
    </row>
    <row r="437" spans="36:49" x14ac:dyDescent="0.25">
      <c r="AJ437" s="211"/>
      <c r="AK437" s="211"/>
      <c r="AL437" s="211"/>
      <c r="AR437" s="222"/>
      <c r="AT437" s="211"/>
      <c r="AU437"/>
      <c r="AV437"/>
      <c r="AW437" s="211"/>
    </row>
    <row r="438" spans="36:49" x14ac:dyDescent="0.25">
      <c r="AJ438" s="211"/>
      <c r="AK438" s="211"/>
      <c r="AL438" s="211"/>
      <c r="AR438" s="222"/>
      <c r="AT438" s="211"/>
      <c r="AU438"/>
      <c r="AV438"/>
      <c r="AW438" s="211"/>
    </row>
    <row r="439" spans="36:49" x14ac:dyDescent="0.25">
      <c r="AJ439" s="211"/>
      <c r="AK439" s="211"/>
      <c r="AL439" s="211"/>
      <c r="AR439" s="222"/>
      <c r="AT439" s="211"/>
      <c r="AU439"/>
      <c r="AV439"/>
      <c r="AW439" s="211"/>
    </row>
    <row r="440" spans="36:49" x14ac:dyDescent="0.25">
      <c r="AJ440" s="211"/>
      <c r="AK440" s="211"/>
      <c r="AL440" s="211"/>
      <c r="AR440" s="222"/>
      <c r="AT440" s="211"/>
      <c r="AU440"/>
      <c r="AV440"/>
      <c r="AW440" s="211"/>
    </row>
    <row r="441" spans="36:49" x14ac:dyDescent="0.25">
      <c r="AJ441" s="211"/>
      <c r="AK441" s="211"/>
      <c r="AL441" s="211"/>
      <c r="AR441" s="222"/>
      <c r="AT441" s="211"/>
      <c r="AU441"/>
      <c r="AV441"/>
      <c r="AW441" s="211"/>
    </row>
    <row r="442" spans="36:49" x14ac:dyDescent="0.25">
      <c r="AJ442" s="211"/>
      <c r="AK442" s="211"/>
      <c r="AL442" s="211"/>
      <c r="AR442" s="222"/>
      <c r="AT442" s="211"/>
      <c r="AU442"/>
      <c r="AV442"/>
      <c r="AW442" s="211"/>
    </row>
    <row r="443" spans="36:49" x14ac:dyDescent="0.25">
      <c r="AJ443" s="211"/>
      <c r="AK443" s="211"/>
      <c r="AL443" s="211"/>
      <c r="AR443" s="222"/>
      <c r="AT443" s="211"/>
      <c r="AU443"/>
      <c r="AV443"/>
      <c r="AW443" s="211"/>
    </row>
    <row r="444" spans="36:49" x14ac:dyDescent="0.25">
      <c r="AJ444" s="211"/>
      <c r="AK444" s="211"/>
      <c r="AL444" s="211"/>
      <c r="AR444" s="222"/>
      <c r="AT444" s="211"/>
      <c r="AU444"/>
      <c r="AV444"/>
      <c r="AW444" s="211"/>
    </row>
    <row r="445" spans="36:49" x14ac:dyDescent="0.25">
      <c r="AJ445" s="211"/>
      <c r="AK445" s="211"/>
      <c r="AL445" s="211"/>
      <c r="AR445" s="222"/>
      <c r="AT445" s="211"/>
      <c r="AU445"/>
      <c r="AV445"/>
      <c r="AW445" s="211"/>
    </row>
    <row r="446" spans="36:49" x14ac:dyDescent="0.25">
      <c r="AJ446" s="211"/>
      <c r="AK446" s="211"/>
      <c r="AL446" s="211"/>
      <c r="AR446" s="222"/>
      <c r="AT446" s="211"/>
      <c r="AU446"/>
      <c r="AV446"/>
      <c r="AW446" s="211"/>
    </row>
    <row r="447" spans="36:49" x14ac:dyDescent="0.25">
      <c r="AJ447" s="211"/>
      <c r="AK447" s="211"/>
      <c r="AL447" s="211"/>
      <c r="AR447" s="222"/>
      <c r="AT447" s="211"/>
      <c r="AU447"/>
      <c r="AV447"/>
      <c r="AW447" s="211"/>
    </row>
    <row r="448" spans="36:49" x14ac:dyDescent="0.25">
      <c r="AJ448" s="211"/>
      <c r="AK448" s="211"/>
      <c r="AL448" s="211"/>
      <c r="AR448" s="222"/>
      <c r="AT448" s="211"/>
      <c r="AU448"/>
      <c r="AV448"/>
      <c r="AW448" s="211"/>
    </row>
    <row r="449" spans="36:49" x14ac:dyDescent="0.25">
      <c r="AJ449" s="211"/>
      <c r="AK449" s="211"/>
      <c r="AL449" s="211"/>
      <c r="AR449" s="222"/>
      <c r="AT449" s="211"/>
      <c r="AU449"/>
      <c r="AV449"/>
      <c r="AW449" s="211"/>
    </row>
    <row r="450" spans="36:49" x14ac:dyDescent="0.25">
      <c r="AJ450" s="211"/>
      <c r="AK450" s="211"/>
      <c r="AL450" s="211"/>
      <c r="AR450" s="222"/>
      <c r="AT450" s="211"/>
      <c r="AU450"/>
      <c r="AV450"/>
      <c r="AW450" s="211"/>
    </row>
    <row r="451" spans="36:49" x14ac:dyDescent="0.25">
      <c r="AJ451" s="211"/>
      <c r="AK451" s="211"/>
      <c r="AL451" s="211"/>
      <c r="AR451" s="222"/>
      <c r="AT451" s="211"/>
      <c r="AU451"/>
      <c r="AV451"/>
      <c r="AW451" s="211"/>
    </row>
    <row r="452" spans="36:49" x14ac:dyDescent="0.25">
      <c r="AJ452" s="211"/>
      <c r="AK452" s="211"/>
      <c r="AL452" s="211"/>
      <c r="AR452" s="222"/>
      <c r="AT452" s="211"/>
      <c r="AU452"/>
      <c r="AV452"/>
      <c r="AW452" s="211"/>
    </row>
    <row r="453" spans="36:49" x14ac:dyDescent="0.25">
      <c r="AJ453" s="211"/>
      <c r="AK453" s="211"/>
      <c r="AL453" s="211"/>
      <c r="AR453" s="222"/>
      <c r="AT453" s="211"/>
      <c r="AU453"/>
      <c r="AV453"/>
      <c r="AW453" s="211"/>
    </row>
    <row r="454" spans="36:49" x14ac:dyDescent="0.25">
      <c r="AJ454" s="211"/>
      <c r="AK454" s="211"/>
      <c r="AL454" s="211"/>
      <c r="AR454" s="222"/>
      <c r="AT454" s="211"/>
      <c r="AU454"/>
      <c r="AV454"/>
      <c r="AW454" s="211"/>
    </row>
    <row r="455" spans="36:49" x14ac:dyDescent="0.25">
      <c r="AJ455" s="211"/>
      <c r="AK455" s="211"/>
      <c r="AL455" s="211"/>
      <c r="AR455" s="222"/>
      <c r="AT455" s="211"/>
      <c r="AU455"/>
      <c r="AV455"/>
      <c r="AW455" s="211"/>
    </row>
    <row r="456" spans="36:49" x14ac:dyDescent="0.25">
      <c r="AJ456" s="211"/>
      <c r="AK456" s="211"/>
      <c r="AL456" s="211"/>
      <c r="AR456" s="222"/>
      <c r="AT456" s="211"/>
      <c r="AU456"/>
      <c r="AV456"/>
      <c r="AW456" s="211"/>
    </row>
    <row r="457" spans="36:49" x14ac:dyDescent="0.25">
      <c r="AJ457" s="211"/>
      <c r="AK457" s="211"/>
      <c r="AL457" s="211"/>
      <c r="AR457" s="222"/>
      <c r="AT457" s="211"/>
      <c r="AU457"/>
      <c r="AV457"/>
      <c r="AW457" s="211"/>
    </row>
    <row r="458" spans="36:49" x14ac:dyDescent="0.25">
      <c r="AJ458" s="211"/>
      <c r="AK458" s="211"/>
      <c r="AL458" s="211"/>
      <c r="AR458" s="222"/>
      <c r="AT458" s="211"/>
      <c r="AU458"/>
      <c r="AV458"/>
      <c r="AW458" s="211"/>
    </row>
    <row r="459" spans="36:49" x14ac:dyDescent="0.25">
      <c r="AJ459" s="211"/>
      <c r="AK459" s="211"/>
      <c r="AL459" s="211"/>
      <c r="AR459" s="222"/>
      <c r="AT459" s="211"/>
      <c r="AU459"/>
      <c r="AV459"/>
      <c r="AW459" s="211"/>
    </row>
    <row r="460" spans="36:49" x14ac:dyDescent="0.25">
      <c r="AJ460" s="211"/>
      <c r="AK460" s="211"/>
      <c r="AL460" s="211"/>
      <c r="AR460" s="222"/>
      <c r="AT460" s="211"/>
      <c r="AU460"/>
      <c r="AV460"/>
      <c r="AW460" s="211"/>
    </row>
    <row r="461" spans="36:49" x14ac:dyDescent="0.25">
      <c r="AJ461" s="211"/>
      <c r="AK461" s="211"/>
      <c r="AL461" s="211"/>
      <c r="AR461" s="222"/>
      <c r="AT461" s="211"/>
      <c r="AU461"/>
      <c r="AV461"/>
      <c r="AW461" s="211"/>
    </row>
    <row r="462" spans="36:49" x14ac:dyDescent="0.25">
      <c r="AJ462" s="211"/>
      <c r="AK462" s="211"/>
      <c r="AL462" s="211"/>
      <c r="AR462" s="222"/>
      <c r="AT462" s="211"/>
      <c r="AU462"/>
      <c r="AV462"/>
      <c r="AW462" s="211"/>
    </row>
    <row r="463" spans="36:49" x14ac:dyDescent="0.25">
      <c r="AJ463" s="211"/>
      <c r="AK463" s="211"/>
      <c r="AL463" s="211"/>
      <c r="AR463" s="222"/>
      <c r="AT463" s="211"/>
      <c r="AU463"/>
      <c r="AV463"/>
      <c r="AW463" s="211"/>
    </row>
    <row r="464" spans="36:49" x14ac:dyDescent="0.25">
      <c r="AJ464" s="211"/>
      <c r="AK464" s="211"/>
      <c r="AL464" s="211"/>
      <c r="AR464" s="222"/>
      <c r="AT464" s="211"/>
      <c r="AU464"/>
      <c r="AV464"/>
      <c r="AW464" s="211"/>
    </row>
    <row r="465" spans="36:49" x14ac:dyDescent="0.25">
      <c r="AJ465" s="211"/>
      <c r="AK465" s="211"/>
      <c r="AL465" s="211"/>
      <c r="AR465" s="222"/>
      <c r="AT465" s="211"/>
      <c r="AU465"/>
      <c r="AV465"/>
      <c r="AW465" s="211"/>
    </row>
    <row r="466" spans="36:49" x14ac:dyDescent="0.25">
      <c r="AJ466" s="211"/>
      <c r="AK466" s="211"/>
      <c r="AL466" s="211"/>
      <c r="AR466" s="222"/>
      <c r="AT466" s="211"/>
      <c r="AU466"/>
      <c r="AV466"/>
      <c r="AW466" s="211"/>
    </row>
    <row r="467" spans="36:49" x14ac:dyDescent="0.25">
      <c r="AJ467" s="211"/>
      <c r="AK467" s="211"/>
      <c r="AL467" s="211"/>
      <c r="AT467" s="233"/>
      <c r="AU467" s="408"/>
      <c r="AV467" s="408"/>
      <c r="AW467" s="211"/>
    </row>
    <row r="468" spans="36:49" x14ac:dyDescent="0.25">
      <c r="AJ468" s="211"/>
      <c r="AK468" s="211"/>
      <c r="AL468" s="211"/>
      <c r="AW468" s="211"/>
    </row>
    <row r="469" spans="36:49" x14ac:dyDescent="0.25">
      <c r="AJ469" s="211"/>
      <c r="AK469" s="211"/>
      <c r="AL469" s="211"/>
      <c r="AW469" s="211"/>
    </row>
    <row r="470" spans="36:49" x14ac:dyDescent="0.25">
      <c r="AJ470" s="211"/>
      <c r="AK470" s="211"/>
      <c r="AL470" s="211"/>
      <c r="AW470" s="211"/>
    </row>
    <row r="471" spans="36:49" x14ac:dyDescent="0.25">
      <c r="AJ471" s="211"/>
      <c r="AK471" s="211"/>
      <c r="AL471" s="211"/>
      <c r="AW471" s="211"/>
    </row>
    <row r="472" spans="36:49" x14ac:dyDescent="0.25">
      <c r="AJ472" s="211"/>
      <c r="AK472" s="211"/>
      <c r="AL472" s="211"/>
      <c r="AW472" s="211"/>
    </row>
    <row r="473" spans="36:49" x14ac:dyDescent="0.25">
      <c r="AJ473" s="211"/>
      <c r="AK473" s="211"/>
      <c r="AL473" s="211"/>
      <c r="AW473" s="211"/>
    </row>
    <row r="474" spans="36:49" x14ac:dyDescent="0.25">
      <c r="AJ474" s="211"/>
      <c r="AK474" s="211"/>
      <c r="AL474" s="211"/>
      <c r="AW474" s="211"/>
    </row>
    <row r="475" spans="36:49" x14ac:dyDescent="0.25">
      <c r="AJ475" s="211"/>
      <c r="AK475" s="211"/>
      <c r="AL475" s="211"/>
      <c r="AW475" s="211"/>
    </row>
    <row r="476" spans="36:49" x14ac:dyDescent="0.25">
      <c r="AJ476" s="211"/>
      <c r="AK476" s="211"/>
      <c r="AL476" s="211"/>
      <c r="AW476" s="211"/>
    </row>
    <row r="477" spans="36:49" x14ac:dyDescent="0.25">
      <c r="AJ477" s="211"/>
      <c r="AK477" s="211"/>
      <c r="AL477" s="211"/>
      <c r="AW477" s="211"/>
    </row>
    <row r="478" spans="36:49" x14ac:dyDescent="0.25">
      <c r="AJ478" s="211"/>
      <c r="AK478" s="211"/>
      <c r="AL478" s="211"/>
      <c r="AW478" s="211"/>
    </row>
    <row r="479" spans="36:49" x14ac:dyDescent="0.25">
      <c r="AJ479" s="211"/>
      <c r="AK479" s="211"/>
      <c r="AL479" s="211"/>
      <c r="AW479" s="211"/>
    </row>
    <row r="480" spans="36:49" x14ac:dyDescent="0.25">
      <c r="AJ480" s="211"/>
      <c r="AK480" s="211"/>
      <c r="AL480" s="211"/>
      <c r="AW480" s="211"/>
    </row>
    <row r="481" spans="36:49" x14ac:dyDescent="0.25">
      <c r="AJ481" s="211"/>
      <c r="AK481" s="211"/>
      <c r="AL481" s="211"/>
      <c r="AW481" s="211"/>
    </row>
    <row r="482" spans="36:49" x14ac:dyDescent="0.25">
      <c r="AJ482" s="211"/>
      <c r="AK482" s="211"/>
      <c r="AL482" s="211"/>
      <c r="AW482" s="211"/>
    </row>
    <row r="483" spans="36:49" x14ac:dyDescent="0.25">
      <c r="AJ483" s="211"/>
      <c r="AK483" s="211"/>
      <c r="AL483" s="211"/>
      <c r="AW483" s="211"/>
    </row>
    <row r="484" spans="36:49" x14ac:dyDescent="0.25">
      <c r="AJ484" s="211"/>
      <c r="AK484" s="211"/>
      <c r="AL484" s="211"/>
      <c r="AW484" s="211"/>
    </row>
    <row r="485" spans="36:49" x14ac:dyDescent="0.25">
      <c r="AJ485" s="211"/>
      <c r="AK485" s="211"/>
      <c r="AL485" s="211"/>
      <c r="AW485" s="211"/>
    </row>
    <row r="486" spans="36:49" x14ac:dyDescent="0.25">
      <c r="AJ486" s="211"/>
      <c r="AK486" s="211"/>
      <c r="AL486" s="211"/>
      <c r="AW486" s="211"/>
    </row>
    <row r="487" spans="36:49" x14ac:dyDescent="0.25">
      <c r="AJ487" s="211"/>
      <c r="AK487" s="211"/>
      <c r="AL487" s="211"/>
      <c r="AW487" s="211"/>
    </row>
    <row r="488" spans="36:49" x14ac:dyDescent="0.25">
      <c r="AJ488" s="211"/>
      <c r="AK488" s="211"/>
      <c r="AL488" s="211"/>
      <c r="AW488" s="211"/>
    </row>
    <row r="489" spans="36:49" x14ac:dyDescent="0.25">
      <c r="AJ489" s="211"/>
      <c r="AK489" s="211"/>
      <c r="AL489" s="211"/>
      <c r="AW489" s="211"/>
    </row>
    <row r="490" spans="36:49" x14ac:dyDescent="0.25">
      <c r="AJ490" s="211"/>
      <c r="AK490" s="211"/>
      <c r="AL490" s="211"/>
      <c r="AW490" s="211"/>
    </row>
    <row r="491" spans="36:49" x14ac:dyDescent="0.25">
      <c r="AJ491" s="211"/>
      <c r="AK491" s="211"/>
      <c r="AL491" s="211"/>
      <c r="AW491" s="211"/>
    </row>
    <row r="492" spans="36:49" x14ac:dyDescent="0.25">
      <c r="AJ492" s="211"/>
      <c r="AK492" s="211"/>
      <c r="AL492" s="211"/>
      <c r="AW492" s="211"/>
    </row>
    <row r="493" spans="36:49" x14ac:dyDescent="0.25">
      <c r="AJ493" s="211"/>
      <c r="AK493" s="211"/>
      <c r="AL493" s="211"/>
      <c r="AW493" s="211"/>
    </row>
    <row r="494" spans="36:49" x14ac:dyDescent="0.25">
      <c r="AJ494" s="211"/>
      <c r="AK494" s="211"/>
      <c r="AL494" s="211"/>
      <c r="AW494" s="211"/>
    </row>
    <row r="495" spans="36:49" x14ac:dyDescent="0.25">
      <c r="AJ495" s="211"/>
      <c r="AK495" s="211"/>
      <c r="AL495" s="211"/>
      <c r="AW495" s="211"/>
    </row>
    <row r="496" spans="36:49" x14ac:dyDescent="0.25">
      <c r="AJ496" s="211"/>
      <c r="AK496" s="211"/>
      <c r="AL496" s="211"/>
      <c r="AW496" s="211"/>
    </row>
    <row r="497" spans="36:49" x14ac:dyDescent="0.25">
      <c r="AJ497" s="211"/>
      <c r="AK497" s="211"/>
      <c r="AL497" s="211"/>
      <c r="AW497" s="211"/>
    </row>
    <row r="498" spans="36:49" x14ac:dyDescent="0.25">
      <c r="AJ498" s="211"/>
      <c r="AK498" s="211"/>
      <c r="AL498" s="211"/>
      <c r="AW498" s="211"/>
    </row>
    <row r="499" spans="36:49" x14ac:dyDescent="0.25">
      <c r="AJ499" s="211"/>
      <c r="AK499" s="211"/>
      <c r="AL499" s="211"/>
      <c r="AW499" s="211"/>
    </row>
    <row r="500" spans="36:49" x14ac:dyDescent="0.25">
      <c r="AJ500" s="211"/>
      <c r="AK500" s="211"/>
      <c r="AL500" s="211"/>
      <c r="AW500" s="211"/>
    </row>
    <row r="501" spans="36:49" x14ac:dyDescent="0.25">
      <c r="AJ501" s="211"/>
      <c r="AK501" s="211"/>
      <c r="AL501" s="211"/>
      <c r="AW501" s="211"/>
    </row>
    <row r="502" spans="36:49" x14ac:dyDescent="0.25">
      <c r="AJ502" s="211"/>
      <c r="AK502" s="211"/>
      <c r="AL502" s="211"/>
      <c r="AW502" s="211"/>
    </row>
    <row r="503" spans="36:49" x14ac:dyDescent="0.25">
      <c r="AJ503" s="211"/>
      <c r="AK503" s="211"/>
      <c r="AL503" s="211"/>
      <c r="AW503" s="211"/>
    </row>
    <row r="504" spans="36:49" x14ac:dyDescent="0.25">
      <c r="AJ504" s="211"/>
      <c r="AK504" s="211"/>
      <c r="AL504" s="211"/>
      <c r="AW504" s="211"/>
    </row>
    <row r="505" spans="36:49" x14ac:dyDescent="0.25">
      <c r="AJ505" s="211"/>
      <c r="AK505" s="211"/>
      <c r="AL505" s="211"/>
      <c r="AW505" s="211"/>
    </row>
    <row r="506" spans="36:49" x14ac:dyDescent="0.25">
      <c r="AJ506" s="211"/>
      <c r="AK506" s="211"/>
      <c r="AL506" s="211"/>
      <c r="AW506" s="211"/>
    </row>
    <row r="507" spans="36:49" x14ac:dyDescent="0.25">
      <c r="AJ507" s="211"/>
      <c r="AK507" s="211"/>
      <c r="AL507" s="211"/>
      <c r="AW507" s="211"/>
    </row>
    <row r="508" spans="36:49" x14ac:dyDescent="0.25">
      <c r="AJ508" s="211"/>
      <c r="AK508" s="211"/>
      <c r="AL508" s="211"/>
      <c r="AW508" s="211"/>
    </row>
    <row r="509" spans="36:49" x14ac:dyDescent="0.25">
      <c r="AJ509" s="211"/>
      <c r="AK509" s="211"/>
      <c r="AL509" s="211"/>
      <c r="AW509" s="211"/>
    </row>
    <row r="510" spans="36:49" x14ac:dyDescent="0.25">
      <c r="AJ510" s="211"/>
      <c r="AK510" s="211"/>
      <c r="AL510" s="211"/>
      <c r="AW510" s="211"/>
    </row>
    <row r="511" spans="36:49" x14ac:dyDescent="0.25">
      <c r="AJ511" s="211"/>
      <c r="AK511" s="211"/>
      <c r="AL511" s="211"/>
      <c r="AW511" s="211"/>
    </row>
    <row r="512" spans="36:49" x14ac:dyDescent="0.25">
      <c r="AJ512" s="211"/>
      <c r="AK512" s="211"/>
      <c r="AL512" s="211"/>
      <c r="AW512" s="211"/>
    </row>
    <row r="513" spans="36:49" x14ac:dyDescent="0.25">
      <c r="AJ513" s="211"/>
      <c r="AK513" s="211"/>
      <c r="AL513" s="211"/>
      <c r="AW513" s="211"/>
    </row>
    <row r="514" spans="36:49" x14ac:dyDescent="0.25">
      <c r="AJ514" s="211"/>
      <c r="AK514" s="211"/>
      <c r="AL514" s="211"/>
      <c r="AW514" s="211"/>
    </row>
    <row r="515" spans="36:49" x14ac:dyDescent="0.25">
      <c r="AJ515" s="211"/>
      <c r="AK515" s="211"/>
      <c r="AL515" s="211"/>
      <c r="AW515" s="211"/>
    </row>
    <row r="516" spans="36:49" x14ac:dyDescent="0.25">
      <c r="AJ516" s="211"/>
      <c r="AK516" s="211"/>
      <c r="AL516" s="211"/>
      <c r="AW516" s="211"/>
    </row>
    <row r="517" spans="36:49" x14ac:dyDescent="0.25">
      <c r="AJ517" s="211"/>
      <c r="AK517" s="211"/>
      <c r="AL517" s="211"/>
      <c r="AW517" s="211"/>
    </row>
    <row r="518" spans="36:49" x14ac:dyDescent="0.25">
      <c r="AJ518" s="211"/>
      <c r="AK518" s="211"/>
      <c r="AL518" s="211"/>
      <c r="AW518" s="211"/>
    </row>
    <row r="519" spans="36:49" x14ac:dyDescent="0.25">
      <c r="AJ519" s="211"/>
      <c r="AK519" s="211"/>
      <c r="AL519" s="211"/>
      <c r="AW519" s="211"/>
    </row>
    <row r="520" spans="36:49" x14ac:dyDescent="0.25">
      <c r="AJ520" s="211"/>
      <c r="AK520" s="211"/>
      <c r="AL520" s="211"/>
      <c r="AW520" s="211"/>
    </row>
    <row r="521" spans="36:49" x14ac:dyDescent="0.25">
      <c r="AJ521" s="211"/>
      <c r="AK521" s="211"/>
      <c r="AL521" s="211"/>
      <c r="AW521" s="211"/>
    </row>
    <row r="522" spans="36:49" x14ac:dyDescent="0.25">
      <c r="AJ522" s="211"/>
      <c r="AK522" s="211"/>
      <c r="AL522" s="211"/>
      <c r="AW522" s="211"/>
    </row>
    <row r="523" spans="36:49" x14ac:dyDescent="0.25">
      <c r="AJ523" s="211"/>
      <c r="AK523" s="211"/>
      <c r="AL523" s="211"/>
      <c r="AW523" s="211"/>
    </row>
    <row r="524" spans="36:49" x14ac:dyDescent="0.25">
      <c r="AJ524" s="211"/>
      <c r="AK524" s="211"/>
      <c r="AL524" s="211"/>
      <c r="AW524" s="211"/>
    </row>
    <row r="525" spans="36:49" x14ac:dyDescent="0.25">
      <c r="AJ525" s="211"/>
      <c r="AK525" s="211"/>
      <c r="AL525" s="211"/>
      <c r="AW525" s="211"/>
    </row>
    <row r="526" spans="36:49" x14ac:dyDescent="0.25">
      <c r="AJ526" s="211"/>
      <c r="AK526" s="211"/>
      <c r="AL526" s="211"/>
      <c r="AW526" s="211"/>
    </row>
    <row r="527" spans="36:49" x14ac:dyDescent="0.25">
      <c r="AJ527" s="211"/>
      <c r="AK527" s="211"/>
      <c r="AL527" s="211"/>
      <c r="AW527" s="211"/>
    </row>
    <row r="528" spans="36:49" x14ac:dyDescent="0.25">
      <c r="AJ528" s="211"/>
      <c r="AK528" s="211"/>
      <c r="AL528" s="211"/>
      <c r="AW528" s="211"/>
    </row>
    <row r="529" spans="36:49" x14ac:dyDescent="0.25">
      <c r="AJ529" s="211"/>
      <c r="AK529" s="211"/>
      <c r="AL529" s="211"/>
      <c r="AW529" s="211"/>
    </row>
    <row r="530" spans="36:49" x14ac:dyDescent="0.25">
      <c r="AJ530" s="211"/>
      <c r="AK530" s="211"/>
      <c r="AL530" s="211"/>
      <c r="AW530" s="211"/>
    </row>
    <row r="531" spans="36:49" x14ac:dyDescent="0.25">
      <c r="AJ531" s="211"/>
      <c r="AK531" s="211"/>
      <c r="AL531" s="211"/>
      <c r="AW531" s="211"/>
    </row>
    <row r="532" spans="36:49" x14ac:dyDescent="0.25">
      <c r="AJ532" s="211"/>
      <c r="AK532" s="211"/>
      <c r="AL532" s="211"/>
      <c r="AW532" s="211"/>
    </row>
    <row r="533" spans="36:49" x14ac:dyDescent="0.25">
      <c r="AJ533" s="211"/>
      <c r="AK533" s="211"/>
      <c r="AL533" s="211"/>
      <c r="AW533" s="211"/>
    </row>
    <row r="534" spans="36:49" x14ac:dyDescent="0.25">
      <c r="AJ534" s="211"/>
      <c r="AK534" s="211"/>
      <c r="AL534" s="211"/>
      <c r="AW534" s="211"/>
    </row>
    <row r="535" spans="36:49" x14ac:dyDescent="0.25">
      <c r="AJ535" s="211"/>
      <c r="AK535" s="211"/>
      <c r="AL535" s="211"/>
      <c r="AW535" s="211"/>
    </row>
    <row r="536" spans="36:49" x14ac:dyDescent="0.25">
      <c r="AJ536" s="211"/>
      <c r="AK536" s="211"/>
      <c r="AL536" s="211"/>
      <c r="AW536" s="211"/>
    </row>
    <row r="537" spans="36:49" x14ac:dyDescent="0.25">
      <c r="AJ537" s="211"/>
      <c r="AK537" s="211"/>
      <c r="AL537" s="211"/>
      <c r="AW537" s="211"/>
    </row>
    <row r="538" spans="36:49" x14ac:dyDescent="0.25">
      <c r="AJ538" s="211"/>
      <c r="AK538" s="211"/>
      <c r="AL538" s="211"/>
      <c r="AW538" s="211"/>
    </row>
    <row r="539" spans="36:49" x14ac:dyDescent="0.25">
      <c r="AJ539" s="211"/>
      <c r="AK539" s="211"/>
      <c r="AL539" s="211"/>
      <c r="AW539" s="211"/>
    </row>
    <row r="540" spans="36:49" x14ac:dyDescent="0.25">
      <c r="AJ540" s="211"/>
      <c r="AK540" s="211"/>
      <c r="AL540" s="211"/>
      <c r="AW540" s="211"/>
    </row>
    <row r="541" spans="36:49" x14ac:dyDescent="0.25">
      <c r="AJ541" s="211"/>
      <c r="AK541" s="211"/>
      <c r="AL541" s="211"/>
      <c r="AW541" s="211"/>
    </row>
    <row r="542" spans="36:49" x14ac:dyDescent="0.25">
      <c r="AJ542" s="211"/>
      <c r="AK542" s="211"/>
      <c r="AL542" s="211"/>
      <c r="AW542" s="211"/>
    </row>
    <row r="543" spans="36:49" x14ac:dyDescent="0.25">
      <c r="AJ543" s="211"/>
      <c r="AK543" s="211"/>
      <c r="AL543" s="211"/>
      <c r="AW543" s="211"/>
    </row>
    <row r="544" spans="36:49" x14ac:dyDescent="0.25">
      <c r="AJ544" s="211"/>
      <c r="AK544" s="211"/>
      <c r="AL544" s="211"/>
      <c r="AW544" s="211"/>
    </row>
    <row r="545" spans="36:49" x14ac:dyDescent="0.25">
      <c r="AJ545" s="211"/>
      <c r="AK545" s="211"/>
      <c r="AL545" s="211"/>
      <c r="AW545" s="211"/>
    </row>
    <row r="546" spans="36:49" x14ac:dyDescent="0.25">
      <c r="AJ546" s="211"/>
      <c r="AK546" s="211"/>
      <c r="AL546" s="211"/>
      <c r="AW546" s="211"/>
    </row>
    <row r="547" spans="36:49" x14ac:dyDescent="0.25">
      <c r="AJ547" s="211"/>
      <c r="AK547" s="211"/>
      <c r="AL547" s="211"/>
      <c r="AW547" s="211"/>
    </row>
    <row r="548" spans="36:49" x14ac:dyDescent="0.25">
      <c r="AJ548" s="211"/>
      <c r="AK548" s="211"/>
      <c r="AL548" s="211"/>
      <c r="AW548" s="211"/>
    </row>
    <row r="549" spans="36:49" x14ac:dyDescent="0.25">
      <c r="AJ549" s="211"/>
      <c r="AK549" s="211"/>
      <c r="AL549" s="211"/>
      <c r="AW549" s="211"/>
    </row>
    <row r="550" spans="36:49" x14ac:dyDescent="0.25">
      <c r="AJ550" s="211"/>
      <c r="AK550" s="211"/>
      <c r="AL550" s="211"/>
      <c r="AW550" s="211"/>
    </row>
    <row r="551" spans="36:49" x14ac:dyDescent="0.25">
      <c r="AJ551" s="211"/>
      <c r="AK551" s="211"/>
      <c r="AL551" s="211"/>
      <c r="AW551" s="211"/>
    </row>
    <row r="552" spans="36:49" x14ac:dyDescent="0.25">
      <c r="AJ552" s="211"/>
      <c r="AK552" s="211"/>
      <c r="AL552" s="211"/>
      <c r="AW552" s="211"/>
    </row>
    <row r="553" spans="36:49" x14ac:dyDescent="0.25">
      <c r="AJ553" s="211"/>
      <c r="AK553" s="211"/>
      <c r="AL553" s="211"/>
      <c r="AW553" s="211"/>
    </row>
    <row r="554" spans="36:49" x14ac:dyDescent="0.25">
      <c r="AJ554" s="211"/>
      <c r="AK554" s="211"/>
      <c r="AL554" s="211"/>
      <c r="AW554" s="211"/>
    </row>
    <row r="555" spans="36:49" x14ac:dyDescent="0.25">
      <c r="AJ555" s="211"/>
      <c r="AK555" s="211"/>
      <c r="AL555" s="211"/>
      <c r="AW555" s="211"/>
    </row>
    <row r="556" spans="36:49" x14ac:dyDescent="0.25">
      <c r="AJ556" s="211"/>
      <c r="AK556" s="211"/>
      <c r="AL556" s="211"/>
      <c r="AW556" s="211"/>
    </row>
    <row r="557" spans="36:49" x14ac:dyDescent="0.25">
      <c r="AJ557" s="211"/>
      <c r="AK557" s="211"/>
      <c r="AL557" s="211"/>
      <c r="AW557" s="211"/>
    </row>
    <row r="558" spans="36:49" x14ac:dyDescent="0.25">
      <c r="AJ558" s="211"/>
      <c r="AK558" s="211"/>
      <c r="AL558" s="211"/>
      <c r="AW558" s="211"/>
    </row>
    <row r="559" spans="36:49" x14ac:dyDescent="0.25">
      <c r="AJ559" s="211"/>
      <c r="AK559" s="211"/>
      <c r="AL559" s="211"/>
      <c r="AW559" s="211"/>
    </row>
    <row r="560" spans="36:49" x14ac:dyDescent="0.25">
      <c r="AJ560" s="211"/>
      <c r="AK560" s="211"/>
      <c r="AL560" s="211"/>
      <c r="AW560" s="211"/>
    </row>
    <row r="561" spans="36:49" x14ac:dyDescent="0.25">
      <c r="AJ561" s="211"/>
      <c r="AK561" s="211"/>
      <c r="AL561" s="211"/>
      <c r="AW561" s="211"/>
    </row>
    <row r="562" spans="36:49" x14ac:dyDescent="0.25">
      <c r="AJ562" s="211"/>
      <c r="AK562" s="211"/>
      <c r="AL562" s="211"/>
      <c r="AW562" s="211"/>
    </row>
    <row r="563" spans="36:49" x14ac:dyDescent="0.25">
      <c r="AJ563" s="211"/>
      <c r="AK563" s="211"/>
      <c r="AL563" s="211"/>
      <c r="AW563" s="211"/>
    </row>
    <row r="564" spans="36:49" x14ac:dyDescent="0.25">
      <c r="AJ564" s="211"/>
      <c r="AK564" s="211"/>
      <c r="AL564" s="211"/>
      <c r="AW564" s="211"/>
    </row>
    <row r="565" spans="36:49" x14ac:dyDescent="0.25">
      <c r="AJ565" s="211"/>
      <c r="AK565" s="211"/>
      <c r="AL565" s="211"/>
      <c r="AW565" s="211"/>
    </row>
    <row r="566" spans="36:49" x14ac:dyDescent="0.25">
      <c r="AJ566" s="211"/>
      <c r="AK566" s="211"/>
      <c r="AL566" s="211"/>
      <c r="AW566" s="211"/>
    </row>
    <row r="567" spans="36:49" x14ac:dyDescent="0.25">
      <c r="AJ567" s="211"/>
      <c r="AK567" s="211"/>
      <c r="AL567" s="211"/>
      <c r="AW567" s="211"/>
    </row>
    <row r="568" spans="36:49" x14ac:dyDescent="0.25">
      <c r="AJ568" s="211"/>
      <c r="AK568" s="211"/>
      <c r="AL568" s="211"/>
      <c r="AW568" s="211"/>
    </row>
    <row r="569" spans="36:49" x14ac:dyDescent="0.25">
      <c r="AJ569" s="211"/>
      <c r="AK569" s="211"/>
      <c r="AL569" s="211"/>
      <c r="AW569" s="211"/>
    </row>
    <row r="570" spans="36:49" x14ac:dyDescent="0.25">
      <c r="AJ570" s="211"/>
      <c r="AK570" s="211"/>
      <c r="AL570" s="211"/>
      <c r="AW570" s="211"/>
    </row>
    <row r="571" spans="36:49" x14ac:dyDescent="0.25">
      <c r="AJ571" s="211"/>
      <c r="AK571" s="211"/>
      <c r="AL571" s="211"/>
      <c r="AW571" s="211"/>
    </row>
    <row r="572" spans="36:49" x14ac:dyDescent="0.25">
      <c r="AJ572" s="211"/>
      <c r="AK572" s="211"/>
      <c r="AL572" s="211"/>
      <c r="AW572" s="211"/>
    </row>
    <row r="573" spans="36:49" x14ac:dyDescent="0.25">
      <c r="AJ573" s="211"/>
      <c r="AK573" s="211"/>
      <c r="AL573" s="211"/>
      <c r="AW573" s="211"/>
    </row>
    <row r="574" spans="36:49" x14ac:dyDescent="0.25">
      <c r="AJ574" s="211"/>
      <c r="AK574" s="211"/>
      <c r="AL574" s="211"/>
      <c r="AW574" s="211"/>
    </row>
    <row r="575" spans="36:49" x14ac:dyDescent="0.25">
      <c r="AJ575" s="211"/>
      <c r="AK575" s="211"/>
      <c r="AL575" s="211"/>
      <c r="AW575" s="211"/>
    </row>
    <row r="576" spans="36:49" x14ac:dyDescent="0.25">
      <c r="AJ576" s="211"/>
      <c r="AK576" s="211"/>
      <c r="AL576" s="211"/>
      <c r="AW576" s="211"/>
    </row>
    <row r="577" spans="36:49" x14ac:dyDescent="0.25">
      <c r="AJ577" s="211"/>
      <c r="AK577" s="211"/>
      <c r="AL577" s="211"/>
      <c r="AW577" s="211"/>
    </row>
    <row r="578" spans="36:49" x14ac:dyDescent="0.25">
      <c r="AJ578" s="211"/>
      <c r="AK578" s="211"/>
      <c r="AL578" s="211"/>
      <c r="AW578" s="211"/>
    </row>
    <row r="579" spans="36:49" x14ac:dyDescent="0.25">
      <c r="AJ579" s="211"/>
      <c r="AK579" s="211"/>
      <c r="AL579" s="211"/>
      <c r="AW579" s="211"/>
    </row>
    <row r="580" spans="36:49" x14ac:dyDescent="0.25">
      <c r="AJ580" s="211"/>
      <c r="AK580" s="211"/>
      <c r="AL580" s="211"/>
      <c r="AW580" s="211"/>
    </row>
    <row r="581" spans="36:49" x14ac:dyDescent="0.25">
      <c r="AJ581" s="211"/>
      <c r="AK581" s="211"/>
      <c r="AL581" s="211"/>
      <c r="AW581" s="211"/>
    </row>
    <row r="582" spans="36:49" x14ac:dyDescent="0.25">
      <c r="AJ582" s="211"/>
      <c r="AK582" s="211"/>
      <c r="AL582" s="211"/>
      <c r="AW582" s="211"/>
    </row>
    <row r="583" spans="36:49" x14ac:dyDescent="0.25">
      <c r="AJ583" s="211"/>
      <c r="AK583" s="211"/>
      <c r="AL583" s="211"/>
      <c r="AW583" s="211"/>
    </row>
    <row r="584" spans="36:49" x14ac:dyDescent="0.25">
      <c r="AJ584" s="211"/>
      <c r="AK584" s="211"/>
      <c r="AL584" s="211"/>
      <c r="AW584" s="211"/>
    </row>
    <row r="585" spans="36:49" x14ac:dyDescent="0.25">
      <c r="AJ585" s="211"/>
      <c r="AK585" s="211"/>
      <c r="AL585" s="211"/>
      <c r="AW585" s="211"/>
    </row>
    <row r="586" spans="36:49" x14ac:dyDescent="0.25">
      <c r="AJ586" s="211"/>
      <c r="AK586" s="211"/>
      <c r="AL586" s="211"/>
      <c r="AW586" s="211"/>
    </row>
    <row r="587" spans="36:49" x14ac:dyDescent="0.25">
      <c r="AJ587" s="211"/>
      <c r="AK587" s="211"/>
      <c r="AL587" s="211"/>
      <c r="AW587" s="211"/>
    </row>
    <row r="588" spans="36:49" x14ac:dyDescent="0.25">
      <c r="AJ588" s="211"/>
      <c r="AK588" s="211"/>
      <c r="AL588" s="211"/>
      <c r="AW588" s="211"/>
    </row>
    <row r="589" spans="36:49" x14ac:dyDescent="0.25">
      <c r="AJ589" s="211"/>
      <c r="AK589" s="211"/>
      <c r="AL589" s="211"/>
      <c r="AW589" s="211"/>
    </row>
    <row r="590" spans="36:49" x14ac:dyDescent="0.25">
      <c r="AJ590" s="211"/>
      <c r="AK590" s="211"/>
      <c r="AL590" s="211"/>
      <c r="AW590" s="211"/>
    </row>
    <row r="591" spans="36:49" x14ac:dyDescent="0.25">
      <c r="AJ591" s="211"/>
      <c r="AK591" s="211"/>
      <c r="AL591" s="211"/>
      <c r="AW591" s="211"/>
    </row>
    <row r="592" spans="36:49" x14ac:dyDescent="0.25">
      <c r="AJ592" s="211"/>
      <c r="AK592" s="211"/>
      <c r="AL592" s="211"/>
      <c r="AW592" s="211"/>
    </row>
    <row r="593" spans="35:49" x14ac:dyDescent="0.25">
      <c r="AI593" s="14"/>
      <c r="AJ593" s="211"/>
      <c r="AK593" s="211"/>
      <c r="AL593" s="211"/>
      <c r="AW593" s="211"/>
    </row>
    <row r="594" spans="35:49" x14ac:dyDescent="0.25">
      <c r="AI594" s="14"/>
      <c r="AJ594" s="211"/>
      <c r="AK594" s="211"/>
      <c r="AL594" s="211"/>
      <c r="AW594" s="211"/>
    </row>
    <row r="595" spans="35:49" x14ac:dyDescent="0.25">
      <c r="AI595" s="14"/>
      <c r="AJ595" s="211"/>
      <c r="AK595" s="211"/>
      <c r="AL595" s="211"/>
      <c r="AW595" s="211"/>
    </row>
    <row r="596" spans="35:49" x14ac:dyDescent="0.25">
      <c r="AI596" s="14"/>
      <c r="AJ596" s="211"/>
      <c r="AK596" s="211"/>
      <c r="AL596" s="211"/>
      <c r="AW596" s="211"/>
    </row>
    <row r="597" spans="35:49" x14ac:dyDescent="0.25">
      <c r="AI597" s="14"/>
      <c r="AJ597" s="211"/>
      <c r="AK597" s="211"/>
      <c r="AL597" s="211"/>
      <c r="AW597" s="211"/>
    </row>
    <row r="598" spans="35:49" x14ac:dyDescent="0.25">
      <c r="AI598" s="14"/>
      <c r="AJ598" s="211"/>
      <c r="AK598" s="211"/>
      <c r="AL598" s="211"/>
      <c r="AW598" s="211"/>
    </row>
    <row r="599" spans="35:49" x14ac:dyDescent="0.25">
      <c r="AI599" s="14"/>
      <c r="AJ599" s="211"/>
      <c r="AK599" s="211"/>
      <c r="AL599" s="211"/>
      <c r="AW599" s="211"/>
    </row>
    <row r="600" spans="35:49" x14ac:dyDescent="0.25">
      <c r="AI600" s="14"/>
      <c r="AJ600" s="211"/>
      <c r="AK600" s="211"/>
      <c r="AL600" s="211"/>
      <c r="AW600" s="211"/>
    </row>
    <row r="601" spans="35:49" x14ac:dyDescent="0.25">
      <c r="AI601" s="14"/>
      <c r="AJ601" s="211"/>
      <c r="AK601" s="211"/>
      <c r="AL601" s="211"/>
      <c r="AW601" s="211"/>
    </row>
    <row r="602" spans="35:49" x14ac:dyDescent="0.25">
      <c r="AI602" s="14"/>
      <c r="AJ602" s="211"/>
      <c r="AK602" s="211"/>
      <c r="AL602" s="211"/>
      <c r="AW602" s="211"/>
    </row>
    <row r="603" spans="35:49" x14ac:dyDescent="0.25">
      <c r="AI603" s="14"/>
      <c r="AJ603" s="211"/>
      <c r="AK603" s="211"/>
      <c r="AL603" s="211"/>
      <c r="AW603" s="211"/>
    </row>
    <row r="604" spans="35:49" x14ac:dyDescent="0.25">
      <c r="AI604" s="14"/>
      <c r="AJ604" s="211"/>
      <c r="AK604" s="211"/>
      <c r="AL604" s="211"/>
      <c r="AW604" s="211"/>
    </row>
    <row r="605" spans="35:49" x14ac:dyDescent="0.25">
      <c r="AI605" s="14"/>
      <c r="AJ605" s="211"/>
      <c r="AK605" s="211"/>
      <c r="AL605" s="211"/>
      <c r="AW605" s="211"/>
    </row>
    <row r="606" spans="35:49" x14ac:dyDescent="0.25">
      <c r="AI606" s="14"/>
      <c r="AJ606" s="211"/>
      <c r="AK606" s="211"/>
      <c r="AL606" s="211"/>
      <c r="AW606" s="211"/>
    </row>
    <row r="607" spans="35:49" x14ac:dyDescent="0.25">
      <c r="AI607" s="14"/>
      <c r="AJ607" s="211"/>
      <c r="AK607" s="211"/>
      <c r="AL607" s="211"/>
      <c r="AW607" s="211"/>
    </row>
    <row r="608" spans="35:49" x14ac:dyDescent="0.25">
      <c r="AI608" s="14"/>
      <c r="AJ608" s="211"/>
      <c r="AK608" s="211"/>
      <c r="AL608" s="211"/>
      <c r="AW608" s="211"/>
    </row>
    <row r="609" spans="35:49" x14ac:dyDescent="0.25">
      <c r="AI609" s="14"/>
      <c r="AJ609" s="211"/>
      <c r="AK609" s="211"/>
      <c r="AL609" s="211"/>
      <c r="AW609" s="211"/>
    </row>
    <row r="610" spans="35:49" x14ac:dyDescent="0.25">
      <c r="AI610" s="14"/>
      <c r="AJ610" s="211"/>
      <c r="AK610" s="211"/>
      <c r="AL610" s="211"/>
      <c r="AW610" s="211"/>
    </row>
    <row r="611" spans="35:49" x14ac:dyDescent="0.25">
      <c r="AI611" s="14"/>
      <c r="AJ611" s="211"/>
      <c r="AK611" s="211"/>
      <c r="AL611" s="211"/>
      <c r="AW611" s="211"/>
    </row>
    <row r="612" spans="35:49" x14ac:dyDescent="0.25">
      <c r="AI612" s="14"/>
      <c r="AJ612" s="211"/>
      <c r="AK612" s="211"/>
      <c r="AL612" s="211"/>
      <c r="AW612" s="211"/>
    </row>
    <row r="613" spans="35:49" x14ac:dyDescent="0.25">
      <c r="AI613" s="14"/>
      <c r="AJ613" s="211"/>
      <c r="AK613" s="211"/>
      <c r="AL613" s="211"/>
      <c r="AW613" s="211"/>
    </row>
    <row r="614" spans="35:49" x14ac:dyDescent="0.25">
      <c r="AI614" s="14"/>
      <c r="AJ614" s="211"/>
      <c r="AK614" s="211"/>
      <c r="AL614" s="211"/>
      <c r="AW614" s="211"/>
    </row>
    <row r="615" spans="35:49" x14ac:dyDescent="0.25">
      <c r="AI615" s="14"/>
      <c r="AJ615" s="211"/>
      <c r="AK615" s="211"/>
      <c r="AL615" s="211"/>
      <c r="AW615" s="211"/>
    </row>
    <row r="616" spans="35:49" x14ac:dyDescent="0.25">
      <c r="AI616" s="14"/>
      <c r="AJ616" s="211"/>
      <c r="AK616" s="211"/>
      <c r="AL616" s="211"/>
      <c r="AW616" s="211"/>
    </row>
    <row r="617" spans="35:49" x14ac:dyDescent="0.25">
      <c r="AI617" s="14"/>
      <c r="AJ617" s="211"/>
      <c r="AK617" s="211"/>
      <c r="AL617" s="211"/>
      <c r="AW617" s="211"/>
    </row>
    <row r="618" spans="35:49" x14ac:dyDescent="0.25">
      <c r="AI618" s="14"/>
      <c r="AJ618" s="211"/>
      <c r="AK618" s="211"/>
      <c r="AL618" s="211"/>
      <c r="AW618" s="211"/>
    </row>
    <row r="619" spans="35:49" x14ac:dyDescent="0.25">
      <c r="AI619" s="14"/>
      <c r="AJ619" s="211"/>
      <c r="AK619" s="211"/>
      <c r="AL619" s="211"/>
      <c r="AW619" s="211"/>
    </row>
    <row r="620" spans="35:49" x14ac:dyDescent="0.25">
      <c r="AI620" s="14"/>
      <c r="AJ620" s="211"/>
      <c r="AK620" s="211"/>
      <c r="AL620" s="211"/>
      <c r="AW620" s="211"/>
    </row>
    <row r="621" spans="35:49" x14ac:dyDescent="0.25">
      <c r="AI621" s="14"/>
      <c r="AJ621" s="211"/>
      <c r="AK621" s="211"/>
      <c r="AL621" s="211"/>
      <c r="AW621" s="211"/>
    </row>
    <row r="622" spans="35:49" x14ac:dyDescent="0.25">
      <c r="AI622" s="14"/>
      <c r="AJ622" s="211"/>
      <c r="AK622" s="211"/>
      <c r="AL622" s="211"/>
      <c r="AW622" s="211"/>
    </row>
    <row r="623" spans="35:49" x14ac:dyDescent="0.25">
      <c r="AI623" s="14"/>
      <c r="AJ623" s="211"/>
      <c r="AK623" s="211"/>
      <c r="AL623" s="211"/>
      <c r="AW623" s="211"/>
    </row>
    <row r="624" spans="35:49" x14ac:dyDescent="0.25">
      <c r="AI624" s="14"/>
      <c r="AJ624" s="211"/>
      <c r="AK624" s="211"/>
      <c r="AL624" s="211"/>
      <c r="AW624" s="211"/>
    </row>
    <row r="625" spans="35:49" x14ac:dyDescent="0.25">
      <c r="AI625" s="14"/>
      <c r="AJ625" s="211"/>
      <c r="AK625" s="211"/>
      <c r="AL625" s="211"/>
      <c r="AW625" s="211"/>
    </row>
    <row r="626" spans="35:49" x14ac:dyDescent="0.25">
      <c r="AI626" s="14"/>
      <c r="AJ626" s="211"/>
      <c r="AK626" s="211"/>
      <c r="AL626" s="211"/>
      <c r="AW626" s="211"/>
    </row>
    <row r="627" spans="35:49" x14ac:dyDescent="0.25">
      <c r="AI627" s="14"/>
      <c r="AJ627" s="211"/>
      <c r="AK627" s="211"/>
      <c r="AL627" s="211"/>
      <c r="AW627" s="211"/>
    </row>
    <row r="628" spans="35:49" x14ac:dyDescent="0.25">
      <c r="AI628" s="14"/>
      <c r="AJ628" s="211"/>
      <c r="AK628" s="211"/>
      <c r="AL628" s="211"/>
      <c r="AW628" s="211"/>
    </row>
    <row r="629" spans="35:49" x14ac:dyDescent="0.25">
      <c r="AI629" s="14"/>
      <c r="AJ629" s="211"/>
      <c r="AK629" s="211"/>
      <c r="AL629" s="211"/>
      <c r="AW629" s="211"/>
    </row>
    <row r="630" spans="35:49" x14ac:dyDescent="0.25">
      <c r="AI630" s="14"/>
      <c r="AJ630" s="211"/>
      <c r="AK630" s="211"/>
      <c r="AL630" s="211"/>
      <c r="AW630" s="211"/>
    </row>
    <row r="631" spans="35:49" x14ac:dyDescent="0.25">
      <c r="AI631" s="14"/>
      <c r="AJ631" s="211"/>
      <c r="AK631" s="211"/>
      <c r="AL631" s="211"/>
      <c r="AW631" s="211"/>
    </row>
    <row r="632" spans="35:49" x14ac:dyDescent="0.25">
      <c r="AI632" s="14"/>
      <c r="AJ632" s="211"/>
      <c r="AK632" s="211"/>
      <c r="AL632" s="211"/>
      <c r="AW632" s="211"/>
    </row>
    <row r="633" spans="35:49" x14ac:dyDescent="0.25">
      <c r="AI633" s="14"/>
      <c r="AJ633" s="211"/>
      <c r="AK633" s="211"/>
      <c r="AL633" s="211"/>
      <c r="AW633" s="211"/>
    </row>
    <row r="634" spans="35:49" x14ac:dyDescent="0.25">
      <c r="AI634" s="14"/>
      <c r="AJ634" s="379"/>
      <c r="AK634" s="233"/>
      <c r="AL634" s="233"/>
      <c r="AW634" s="233"/>
    </row>
  </sheetData>
  <autoFilter ref="A1:X108" xr:uid="{00000000-0009-0000-0000-000004000000}"/>
  <phoneticPr fontId="48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  <rowBreaks count="1" manualBreakCount="1">
    <brk id="55" min="60" max="6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CW349"/>
  <sheetViews>
    <sheetView zoomScaleNormal="100" workbookViewId="0">
      <pane xSplit="2" ySplit="1" topLeftCell="BU82" activePane="bottomRight" state="frozen"/>
      <selection activeCell="AD101" sqref="AD101"/>
      <selection pane="topRight" activeCell="AD101" sqref="AD101"/>
      <selection pane="bottomLeft" activeCell="AD101" sqref="AD101"/>
      <selection pane="bottomRight" activeCell="BV91" sqref="BV91"/>
    </sheetView>
  </sheetViews>
  <sheetFormatPr defaultRowHeight="15" x14ac:dyDescent="0.25"/>
  <cols>
    <col min="1" max="1" width="7.42578125" customWidth="1"/>
    <col min="2" max="2" width="58.42578125" style="451" customWidth="1"/>
    <col min="3" max="5" width="17.28515625" style="1" customWidth="1"/>
    <col min="6" max="9" width="13.140625" style="14" customWidth="1"/>
    <col min="10" max="11" width="17.140625" style="1" customWidth="1"/>
    <col min="12" max="12" width="19.5703125" style="14" customWidth="1"/>
    <col min="13" max="13" width="12.5703125" style="1" customWidth="1"/>
    <col min="14" max="15" width="22.7109375" style="1" customWidth="1"/>
    <col min="16" max="16" width="23.42578125" style="1" customWidth="1"/>
    <col min="17" max="18" width="22.28515625" style="1" customWidth="1"/>
    <col min="19" max="19" width="18.7109375" style="1" customWidth="1"/>
    <col min="20" max="20" width="17.7109375" style="1" customWidth="1"/>
    <col min="21" max="22" width="14.42578125" customWidth="1"/>
    <col min="23" max="23" width="17.28515625" style="120" customWidth="1"/>
    <col min="24" max="24" width="4.140625" customWidth="1"/>
    <col min="25" max="25" width="16.7109375" customWidth="1"/>
    <col min="26" max="26" width="22.28515625" customWidth="1"/>
    <col min="27" max="28" width="18.28515625" customWidth="1"/>
    <col min="29" max="29" width="23.7109375" style="54" customWidth="1"/>
    <col min="30" max="30" width="20.85546875" style="54" customWidth="1"/>
    <col min="31" max="31" width="37.7109375" style="54" customWidth="1"/>
    <col min="32" max="32" width="22" style="55" customWidth="1"/>
    <col min="33" max="33" width="16.42578125" style="223" customWidth="1"/>
    <col min="34" max="34" width="18.28515625" style="54" customWidth="1"/>
    <col min="35" max="35" width="19.28515625" style="259" customWidth="1"/>
    <col min="36" max="36" width="22.7109375" style="230" customWidth="1"/>
    <col min="37" max="37" width="15.5703125" customWidth="1"/>
    <col min="38" max="38" width="13.85546875" customWidth="1"/>
    <col min="39" max="39" width="16.42578125" customWidth="1"/>
    <col min="40" max="40" width="16.5703125" customWidth="1"/>
    <col min="41" max="41" width="14.7109375" customWidth="1"/>
    <col min="42" max="42" width="17.85546875" style="65" customWidth="1"/>
    <col min="43" max="43" width="19" style="222" customWidth="1"/>
    <col min="44" max="44" width="19.85546875" style="65" customWidth="1"/>
    <col min="45" max="45" width="14.7109375" customWidth="1"/>
    <col min="46" max="47" width="16.28515625" style="1" customWidth="1"/>
    <col min="48" max="48" width="16.28515625" style="1" hidden="1" customWidth="1"/>
    <col min="49" max="49" width="16.5703125" style="362" hidden="1" customWidth="1"/>
    <col min="50" max="50" width="18.85546875" style="267" hidden="1" customWidth="1"/>
    <col min="51" max="51" width="14.140625" hidden="1" customWidth="1"/>
    <col min="52" max="52" width="19.42578125" style="1" customWidth="1"/>
    <col min="53" max="53" width="20.140625" style="267" customWidth="1"/>
    <col min="54" max="54" width="19.140625" style="506" customWidth="1"/>
    <col min="55" max="55" width="19.7109375" style="501" customWidth="1"/>
    <col min="56" max="56" width="19.28515625" style="501" customWidth="1"/>
    <col min="57" max="57" width="19.42578125" style="506" customWidth="1"/>
    <col min="58" max="58" width="16.5703125" style="1" customWidth="1"/>
    <col min="59" max="59" width="15.5703125" style="387" customWidth="1"/>
    <col min="60" max="60" width="14.5703125" style="1" customWidth="1"/>
    <col min="61" max="61" width="18.85546875" style="14" customWidth="1"/>
    <col min="62" max="62" width="16" style="1" hidden="1" customWidth="1"/>
    <col min="63" max="63" width="18.85546875" style="14" customWidth="1"/>
    <col min="64" max="64" width="18.7109375" customWidth="1"/>
    <col min="65" max="66" width="19" style="1" customWidth="1"/>
    <col min="67" max="67" width="17" style="1" bestFit="1" customWidth="1"/>
    <col min="68" max="68" width="17" style="1" customWidth="1"/>
    <col min="69" max="69" width="18.42578125" customWidth="1"/>
    <col min="70" max="70" width="16" style="1" customWidth="1"/>
    <col min="71" max="71" width="17.28515625" customWidth="1"/>
    <col min="72" max="72" width="16.85546875" customWidth="1"/>
    <col min="73" max="74" width="19" style="729" customWidth="1"/>
    <col min="75" max="75" width="21.85546875" customWidth="1"/>
    <col min="79" max="79" width="12.7109375" style="748" customWidth="1"/>
  </cols>
  <sheetData>
    <row r="1" spans="1:75" ht="45" x14ac:dyDescent="0.25">
      <c r="A1" s="54"/>
      <c r="B1" s="604" t="s">
        <v>320</v>
      </c>
      <c r="C1" s="55" t="s">
        <v>0</v>
      </c>
      <c r="D1" s="55" t="s">
        <v>1</v>
      </c>
      <c r="E1" s="55" t="s">
        <v>2</v>
      </c>
      <c r="F1" s="56" t="s">
        <v>205</v>
      </c>
      <c r="G1" s="57" t="s">
        <v>225</v>
      </c>
      <c r="H1" s="56" t="s">
        <v>224</v>
      </c>
      <c r="I1" s="56" t="s">
        <v>313</v>
      </c>
      <c r="J1" s="55" t="s">
        <v>311</v>
      </c>
      <c r="K1" s="55" t="s">
        <v>312</v>
      </c>
      <c r="L1" s="55" t="s">
        <v>317</v>
      </c>
      <c r="N1" s="55" t="s">
        <v>324</v>
      </c>
      <c r="O1" s="55" t="s">
        <v>325</v>
      </c>
      <c r="P1" s="55" t="s">
        <v>343</v>
      </c>
      <c r="Q1" s="65" t="s">
        <v>346</v>
      </c>
      <c r="R1" s="65" t="s">
        <v>379</v>
      </c>
      <c r="S1" s="65" t="s">
        <v>378</v>
      </c>
      <c r="T1" s="65" t="s">
        <v>377</v>
      </c>
      <c r="U1" s="60" t="s">
        <v>399</v>
      </c>
      <c r="V1" s="60" t="s">
        <v>400</v>
      </c>
      <c r="W1" s="121" t="s">
        <v>401</v>
      </c>
      <c r="Y1" s="54" t="s">
        <v>407</v>
      </c>
      <c r="Z1" s="9" t="s">
        <v>425</v>
      </c>
      <c r="AA1" s="66" t="s">
        <v>438</v>
      </c>
      <c r="AB1" s="245" t="s">
        <v>439</v>
      </c>
      <c r="AC1" s="55" t="s">
        <v>471</v>
      </c>
      <c r="AD1" s="206" t="s">
        <v>470</v>
      </c>
      <c r="AE1" s="206"/>
      <c r="AF1" s="236" t="s">
        <v>496</v>
      </c>
      <c r="AG1" s="248" t="s">
        <v>497</v>
      </c>
      <c r="AH1" s="249" t="s">
        <v>498</v>
      </c>
      <c r="AI1" s="257" t="s">
        <v>499</v>
      </c>
      <c r="AJ1" s="315" t="s">
        <v>513</v>
      </c>
      <c r="AK1" s="339" t="s">
        <v>538</v>
      </c>
      <c r="AM1" s="344" t="s">
        <v>544</v>
      </c>
      <c r="AN1" s="54" t="s">
        <v>551</v>
      </c>
      <c r="AO1" s="354" t="s">
        <v>550</v>
      </c>
      <c r="AP1" s="402" t="s">
        <v>556</v>
      </c>
      <c r="AQ1" s="263" t="s">
        <v>557</v>
      </c>
      <c r="AR1" s="402" t="s">
        <v>559</v>
      </c>
      <c r="AS1" s="402" t="s">
        <v>561</v>
      </c>
      <c r="AT1" s="427" t="s">
        <v>566</v>
      </c>
      <c r="AU1" s="427" t="s">
        <v>568</v>
      </c>
      <c r="AV1" s="427" t="s">
        <v>569</v>
      </c>
      <c r="AW1" s="428" t="s">
        <v>567</v>
      </c>
      <c r="AX1" s="429" t="s">
        <v>570</v>
      </c>
      <c r="AY1" s="427" t="s">
        <v>592</v>
      </c>
      <c r="AZ1" s="427" t="s">
        <v>593</v>
      </c>
      <c r="BA1" s="427" t="s">
        <v>594</v>
      </c>
      <c r="BB1" s="504" t="s">
        <v>610</v>
      </c>
      <c r="BC1" s="500" t="s">
        <v>606</v>
      </c>
      <c r="BD1" s="500" t="s">
        <v>607</v>
      </c>
      <c r="BE1" s="500" t="s">
        <v>612</v>
      </c>
      <c r="BF1" s="512" t="s">
        <v>611</v>
      </c>
      <c r="BG1" s="527" t="s">
        <v>614</v>
      </c>
      <c r="BH1" s="500" t="s">
        <v>619</v>
      </c>
      <c r="BI1" s="528" t="s">
        <v>647</v>
      </c>
      <c r="BJ1" s="570" t="s">
        <v>641</v>
      </c>
      <c r="BK1" s="570" t="s">
        <v>654</v>
      </c>
      <c r="BL1" s="603" t="s">
        <v>653</v>
      </c>
      <c r="BM1" s="609" t="s">
        <v>683</v>
      </c>
      <c r="BN1" s="645" t="s">
        <v>706</v>
      </c>
      <c r="BO1" s="638" t="s">
        <v>697</v>
      </c>
      <c r="BP1" s="638" t="s">
        <v>699</v>
      </c>
      <c r="BQ1" s="638" t="s">
        <v>698</v>
      </c>
      <c r="BR1" s="660" t="s">
        <v>716</v>
      </c>
      <c r="BS1" s="660" t="s">
        <v>724</v>
      </c>
      <c r="BT1" s="724" t="s">
        <v>728</v>
      </c>
      <c r="BU1" s="802" t="s">
        <v>733</v>
      </c>
      <c r="BV1" s="806" t="s">
        <v>767</v>
      </c>
      <c r="BW1" s="886" t="s">
        <v>776</v>
      </c>
    </row>
    <row r="2" spans="1:75" x14ac:dyDescent="0.25">
      <c r="A2" s="54" t="s">
        <v>8</v>
      </c>
      <c r="B2" s="446" t="s">
        <v>175</v>
      </c>
      <c r="C2" s="55">
        <v>0</v>
      </c>
      <c r="D2" s="55">
        <v>0</v>
      </c>
      <c r="E2" s="55">
        <v>0</v>
      </c>
      <c r="F2" s="65">
        <v>0</v>
      </c>
      <c r="G2" s="65"/>
      <c r="H2" s="65"/>
      <c r="I2" s="65">
        <f>H2/11+H2</f>
        <v>0</v>
      </c>
      <c r="J2" s="55">
        <v>0</v>
      </c>
      <c r="K2" s="55">
        <v>0</v>
      </c>
      <c r="L2" s="65">
        <v>0</v>
      </c>
      <c r="M2" s="1">
        <f>IF(I2&lt;&gt;0,L2/I2*100,0)</f>
        <v>0</v>
      </c>
      <c r="N2" s="55"/>
      <c r="O2" s="55"/>
      <c r="P2" s="55"/>
      <c r="Q2" s="55"/>
      <c r="R2" s="55"/>
      <c r="S2" s="55"/>
      <c r="T2" s="55"/>
      <c r="U2" s="69">
        <f>T2</f>
        <v>0</v>
      </c>
      <c r="V2" s="69">
        <f>T2</f>
        <v>0</v>
      </c>
      <c r="W2" s="122"/>
      <c r="Y2" s="207" t="e">
        <f>V2/S2</f>
        <v>#DIV/0!</v>
      </c>
      <c r="Z2" s="69">
        <f>V2</f>
        <v>0</v>
      </c>
      <c r="AA2" s="55"/>
      <c r="AB2" s="223"/>
      <c r="AC2" s="55"/>
      <c r="AI2" s="258">
        <f t="shared" ref="AI2:AI55" si="0">AH2*1.02</f>
        <v>0</v>
      </c>
      <c r="AK2" s="69">
        <f>AJ2</f>
        <v>0</v>
      </c>
      <c r="AM2" s="54"/>
      <c r="AN2" s="54"/>
      <c r="AO2" s="354"/>
      <c r="AR2" s="65">
        <f>AP2-AQ2</f>
        <v>0</v>
      </c>
      <c r="AS2" s="54"/>
      <c r="AT2" s="55"/>
      <c r="AU2" s="55"/>
      <c r="AV2" s="55"/>
      <c r="AW2" s="419"/>
      <c r="AX2" s="67"/>
      <c r="AY2" s="69">
        <f>AX2</f>
        <v>0</v>
      </c>
      <c r="AZ2" s="55"/>
      <c r="BA2" s="67"/>
      <c r="BB2" s="501"/>
      <c r="BE2" s="501"/>
      <c r="BF2" s="221"/>
      <c r="BH2" s="569"/>
      <c r="BI2" s="222"/>
      <c r="BJ2" s="55"/>
      <c r="BK2" s="65"/>
      <c r="BL2" s="69">
        <f>BK2/10*12</f>
        <v>0</v>
      </c>
      <c r="BM2" s="55">
        <f>BL2/10*12</f>
        <v>0</v>
      </c>
      <c r="BN2" s="55"/>
      <c r="BO2" s="55"/>
      <c r="BP2" s="55"/>
      <c r="BQ2" s="54"/>
      <c r="BR2" s="55"/>
      <c r="BS2" s="55"/>
      <c r="BT2" s="223"/>
      <c r="BU2" s="353"/>
      <c r="BV2" s="353"/>
      <c r="BW2" s="809"/>
    </row>
    <row r="3" spans="1:75" x14ac:dyDescent="0.25">
      <c r="A3" s="54" t="s">
        <v>9</v>
      </c>
      <c r="B3" s="446" t="s">
        <v>176</v>
      </c>
      <c r="C3" s="55">
        <v>0</v>
      </c>
      <c r="D3" s="55">
        <v>0</v>
      </c>
      <c r="E3" s="55">
        <v>0</v>
      </c>
      <c r="F3" s="65">
        <v>0</v>
      </c>
      <c r="G3" s="65"/>
      <c r="H3" s="65"/>
      <c r="I3" s="65">
        <f t="shared" ref="I3:I77" si="1">H3/11+H3</f>
        <v>0</v>
      </c>
      <c r="J3" s="55">
        <v>0</v>
      </c>
      <c r="K3" s="55">
        <v>0</v>
      </c>
      <c r="L3" s="65">
        <v>0</v>
      </c>
      <c r="M3" s="1">
        <f t="shared" ref="M3:M77" si="2">IF(I3&lt;&gt;0,L3/I3*100,0)</f>
        <v>0</v>
      </c>
      <c r="N3" s="55"/>
      <c r="O3" s="55"/>
      <c r="P3" s="55"/>
      <c r="Q3" s="55"/>
      <c r="R3" s="55"/>
      <c r="S3" s="55"/>
      <c r="T3" s="55"/>
      <c r="U3" s="69">
        <f t="shared" ref="U3:U76" si="3">T3</f>
        <v>0</v>
      </c>
      <c r="V3" s="69">
        <f t="shared" ref="V3:V76" si="4">T3</f>
        <v>0</v>
      </c>
      <c r="W3" s="122"/>
      <c r="Y3" s="207" t="e">
        <f t="shared" ref="Y3:Y76" si="5">V3/S3</f>
        <v>#DIV/0!</v>
      </c>
      <c r="Z3" s="69">
        <f t="shared" ref="Z3:Z76" si="6">V3</f>
        <v>0</v>
      </c>
      <c r="AA3" s="55"/>
      <c r="AB3" s="223"/>
      <c r="AC3" s="55"/>
      <c r="AI3" s="258">
        <f t="shared" si="0"/>
        <v>0</v>
      </c>
      <c r="AK3" s="69">
        <f t="shared" ref="AK3:AK71" si="7">AJ3</f>
        <v>0</v>
      </c>
      <c r="AM3" s="54"/>
      <c r="AN3" s="54"/>
      <c r="AO3" s="354"/>
      <c r="AR3" s="65">
        <f t="shared" ref="AR3:AR71" si="8">AP3-AQ3</f>
        <v>0</v>
      </c>
      <c r="AS3" s="54"/>
      <c r="AT3" s="55"/>
      <c r="AU3" s="55"/>
      <c r="AV3" s="55"/>
      <c r="AW3" s="419"/>
      <c r="AX3" s="67"/>
      <c r="AY3" s="69">
        <f t="shared" ref="AY3:BA70" si="9">AX3</f>
        <v>0</v>
      </c>
      <c r="AZ3" s="55"/>
      <c r="BA3" s="67"/>
      <c r="BB3" s="501"/>
      <c r="BE3" s="501"/>
      <c r="BF3" s="221"/>
      <c r="BH3" s="569"/>
      <c r="BI3" s="222"/>
      <c r="BJ3" s="55"/>
      <c r="BK3" s="65"/>
      <c r="BL3" s="69">
        <f t="shared" ref="BL3:BM70" si="10">BK3/10*12</f>
        <v>0</v>
      </c>
      <c r="BM3" s="55">
        <f t="shared" si="10"/>
        <v>0</v>
      </c>
      <c r="BN3" s="55"/>
      <c r="BO3" s="55"/>
      <c r="BP3" s="55"/>
      <c r="BQ3" s="54"/>
      <c r="BR3" s="55"/>
      <c r="BS3" s="55"/>
      <c r="BT3" s="223"/>
      <c r="BU3" s="353"/>
      <c r="BV3" s="353"/>
      <c r="BW3" s="809"/>
    </row>
    <row r="4" spans="1:75" x14ac:dyDescent="0.25">
      <c r="A4" s="54" t="s">
        <v>584</v>
      </c>
      <c r="B4" s="446" t="s">
        <v>586</v>
      </c>
      <c r="C4" s="55">
        <v>0</v>
      </c>
      <c r="D4" s="55">
        <v>0</v>
      </c>
      <c r="E4" s="55">
        <v>0</v>
      </c>
      <c r="F4" s="65">
        <v>0</v>
      </c>
      <c r="G4" s="65"/>
      <c r="H4" s="65"/>
      <c r="I4" s="65">
        <f t="shared" si="1"/>
        <v>0</v>
      </c>
      <c r="J4" s="55">
        <v>0</v>
      </c>
      <c r="K4" s="55">
        <v>0</v>
      </c>
      <c r="L4" s="65">
        <v>0</v>
      </c>
      <c r="M4" s="1">
        <f t="shared" si="2"/>
        <v>0</v>
      </c>
      <c r="N4" s="55"/>
      <c r="O4" s="55"/>
      <c r="P4" s="55"/>
      <c r="Q4" s="55"/>
      <c r="R4" s="55"/>
      <c r="S4" s="55"/>
      <c r="T4" s="55"/>
      <c r="U4" s="69">
        <f t="shared" si="3"/>
        <v>0</v>
      </c>
      <c r="V4" s="69">
        <f t="shared" si="4"/>
        <v>0</v>
      </c>
      <c r="W4" s="122"/>
      <c r="Y4" s="207" t="e">
        <f t="shared" si="5"/>
        <v>#DIV/0!</v>
      </c>
      <c r="Z4" s="69">
        <f t="shared" si="6"/>
        <v>0</v>
      </c>
      <c r="AA4" s="55"/>
      <c r="AB4" s="223"/>
      <c r="AC4" s="55"/>
      <c r="AI4" s="258">
        <f t="shared" si="0"/>
        <v>0</v>
      </c>
      <c r="AK4" s="69">
        <f t="shared" si="7"/>
        <v>0</v>
      </c>
      <c r="AM4" s="54"/>
      <c r="AN4" s="54"/>
      <c r="AO4" s="354"/>
      <c r="AR4" s="65">
        <f t="shared" si="8"/>
        <v>0</v>
      </c>
      <c r="AS4" s="54"/>
      <c r="AT4" s="55"/>
      <c r="AU4" s="55"/>
      <c r="AV4" s="55"/>
      <c r="AW4" s="419"/>
      <c r="AX4" s="67"/>
      <c r="AY4" s="69">
        <f t="shared" si="9"/>
        <v>0</v>
      </c>
      <c r="AZ4" s="55"/>
      <c r="BA4" s="67"/>
      <c r="BB4" s="501"/>
      <c r="BE4" s="501"/>
      <c r="BF4" s="221"/>
      <c r="BH4" s="569"/>
      <c r="BI4" s="222"/>
      <c r="BJ4" s="55"/>
      <c r="BK4" s="65"/>
      <c r="BL4" s="69">
        <f t="shared" si="10"/>
        <v>0</v>
      </c>
      <c r="BM4" s="55">
        <f t="shared" si="10"/>
        <v>0</v>
      </c>
      <c r="BN4" s="55"/>
      <c r="BO4" s="55"/>
      <c r="BP4" s="55"/>
      <c r="BQ4" s="54"/>
      <c r="BR4" s="55"/>
      <c r="BS4" s="55"/>
      <c r="BT4" s="223"/>
      <c r="BU4" s="353"/>
      <c r="BV4" s="353"/>
      <c r="BW4" s="809"/>
    </row>
    <row r="5" spans="1:75" x14ac:dyDescent="0.25">
      <c r="A5" s="54" t="s">
        <v>585</v>
      </c>
      <c r="B5" s="446" t="s">
        <v>177</v>
      </c>
      <c r="C5" s="55"/>
      <c r="D5" s="55"/>
      <c r="E5" s="55"/>
      <c r="F5" s="65"/>
      <c r="G5" s="65"/>
      <c r="H5" s="65"/>
      <c r="I5" s="65"/>
      <c r="J5" s="55"/>
      <c r="K5" s="55"/>
      <c r="L5" s="65"/>
      <c r="N5" s="55"/>
      <c r="O5" s="55"/>
      <c r="P5" s="55"/>
      <c r="Q5" s="55"/>
      <c r="R5" s="55"/>
      <c r="S5" s="55"/>
      <c r="T5" s="55"/>
      <c r="U5" s="69"/>
      <c r="V5" s="69"/>
      <c r="W5" s="122"/>
      <c r="Y5" s="207"/>
      <c r="Z5" s="69"/>
      <c r="AA5" s="55"/>
      <c r="AB5" s="223"/>
      <c r="AC5" s="55"/>
      <c r="AI5" s="258"/>
      <c r="AK5" s="69"/>
      <c r="AM5" s="54"/>
      <c r="AN5" s="54"/>
      <c r="AO5" s="354"/>
      <c r="AS5" s="54"/>
      <c r="AT5" s="55"/>
      <c r="AU5" s="55"/>
      <c r="AV5" s="55"/>
      <c r="AW5" s="419"/>
      <c r="AX5" s="67"/>
      <c r="AY5" s="69">
        <f t="shared" si="9"/>
        <v>0</v>
      </c>
      <c r="AZ5" s="55"/>
      <c r="BA5" s="67"/>
      <c r="BB5" s="501"/>
      <c r="BE5" s="501"/>
      <c r="BF5" s="221"/>
      <c r="BH5" s="569"/>
      <c r="BI5" s="222"/>
      <c r="BJ5" s="55"/>
      <c r="BK5" s="65"/>
      <c r="BL5" s="69">
        <f t="shared" si="10"/>
        <v>0</v>
      </c>
      <c r="BM5" s="55">
        <f t="shared" si="10"/>
        <v>0</v>
      </c>
      <c r="BN5" s="55"/>
      <c r="BO5" s="55"/>
      <c r="BP5" s="55"/>
      <c r="BQ5" s="54"/>
      <c r="BR5" s="55"/>
      <c r="BS5" s="55"/>
      <c r="BT5" s="223"/>
      <c r="BU5" s="353"/>
      <c r="BV5" s="353"/>
      <c r="BW5" s="809"/>
    </row>
    <row r="6" spans="1:75" x14ac:dyDescent="0.25">
      <c r="A6" s="54" t="s">
        <v>10</v>
      </c>
      <c r="B6" s="446" t="s">
        <v>178</v>
      </c>
      <c r="C6" s="55">
        <v>0</v>
      </c>
      <c r="D6" s="55">
        <v>0</v>
      </c>
      <c r="E6" s="55">
        <v>0</v>
      </c>
      <c r="F6" s="65">
        <v>0</v>
      </c>
      <c r="G6" s="65"/>
      <c r="H6" s="65"/>
      <c r="I6" s="65">
        <f t="shared" si="1"/>
        <v>0</v>
      </c>
      <c r="J6" s="55">
        <v>0</v>
      </c>
      <c r="K6" s="55">
        <v>0</v>
      </c>
      <c r="L6" s="65">
        <v>0</v>
      </c>
      <c r="M6" s="1">
        <f t="shared" si="2"/>
        <v>0</v>
      </c>
      <c r="N6" s="55"/>
      <c r="O6" s="55"/>
      <c r="P6" s="55"/>
      <c r="Q6" s="55"/>
      <c r="R6" s="55"/>
      <c r="S6" s="55"/>
      <c r="T6" s="55"/>
      <c r="U6" s="69">
        <f t="shared" si="3"/>
        <v>0</v>
      </c>
      <c r="V6" s="69">
        <f t="shared" si="4"/>
        <v>0</v>
      </c>
      <c r="W6" s="122"/>
      <c r="Y6" s="207" t="e">
        <f t="shared" si="5"/>
        <v>#DIV/0!</v>
      </c>
      <c r="Z6" s="69">
        <f t="shared" si="6"/>
        <v>0</v>
      </c>
      <c r="AA6" s="55"/>
      <c r="AB6" s="223"/>
      <c r="AC6" s="55"/>
      <c r="AI6" s="258">
        <f t="shared" si="0"/>
        <v>0</v>
      </c>
      <c r="AK6" s="69">
        <f t="shared" si="7"/>
        <v>0</v>
      </c>
      <c r="AM6" s="54"/>
      <c r="AN6" s="54"/>
      <c r="AO6" s="354"/>
      <c r="AP6" s="209"/>
      <c r="AR6" s="65">
        <f t="shared" si="8"/>
        <v>0</v>
      </c>
      <c r="AS6" s="54"/>
      <c r="AT6" s="55"/>
      <c r="AU6" s="55"/>
      <c r="AV6" s="55"/>
      <c r="AW6" s="419"/>
      <c r="AX6" s="67"/>
      <c r="AY6" s="69">
        <f t="shared" si="9"/>
        <v>0</v>
      </c>
      <c r="AZ6" s="55"/>
      <c r="BA6" s="67"/>
      <c r="BB6" s="501"/>
      <c r="BE6" s="501"/>
      <c r="BF6" s="221"/>
      <c r="BH6" s="569"/>
      <c r="BI6" s="222"/>
      <c r="BJ6" s="55"/>
      <c r="BK6" s="65"/>
      <c r="BL6" s="69">
        <f t="shared" si="10"/>
        <v>0</v>
      </c>
      <c r="BM6" s="55">
        <f t="shared" si="10"/>
        <v>0</v>
      </c>
      <c r="BN6" s="55"/>
      <c r="BO6" s="55"/>
      <c r="BP6" s="55"/>
      <c r="BQ6" s="55"/>
      <c r="BR6" s="55"/>
      <c r="BS6" s="55"/>
      <c r="BT6" s="223"/>
      <c r="BU6" s="353"/>
      <c r="BV6" s="353"/>
      <c r="BW6" s="809"/>
    </row>
    <row r="7" spans="1:75" x14ac:dyDescent="0.25">
      <c r="A7" s="54" t="s">
        <v>11</v>
      </c>
      <c r="B7" s="446" t="s">
        <v>179</v>
      </c>
      <c r="C7" s="55">
        <v>0</v>
      </c>
      <c r="D7" s="55">
        <v>0</v>
      </c>
      <c r="E7" s="55">
        <v>0</v>
      </c>
      <c r="F7" s="65">
        <v>0</v>
      </c>
      <c r="G7" s="65"/>
      <c r="H7" s="65"/>
      <c r="I7" s="65">
        <f t="shared" si="1"/>
        <v>0</v>
      </c>
      <c r="J7" s="55">
        <v>0</v>
      </c>
      <c r="K7" s="55">
        <v>0</v>
      </c>
      <c r="L7" s="65">
        <v>0</v>
      </c>
      <c r="M7" s="1">
        <f t="shared" si="2"/>
        <v>0</v>
      </c>
      <c r="N7" s="55"/>
      <c r="O7" s="55"/>
      <c r="P7" s="55"/>
      <c r="Q7" s="55"/>
      <c r="R7" s="55"/>
      <c r="S7" s="55"/>
      <c r="T7" s="55"/>
      <c r="U7" s="69">
        <f t="shared" si="3"/>
        <v>0</v>
      </c>
      <c r="V7" s="69">
        <f t="shared" si="4"/>
        <v>0</v>
      </c>
      <c r="W7" s="122"/>
      <c r="Y7" s="207" t="e">
        <f t="shared" si="5"/>
        <v>#DIV/0!</v>
      </c>
      <c r="Z7" s="69">
        <f t="shared" si="6"/>
        <v>0</v>
      </c>
      <c r="AA7" s="55"/>
      <c r="AB7" s="223"/>
      <c r="AC7" s="55"/>
      <c r="AI7" s="258">
        <f t="shared" si="0"/>
        <v>0</v>
      </c>
      <c r="AK7" s="69">
        <f t="shared" si="7"/>
        <v>0</v>
      </c>
      <c r="AM7" s="54"/>
      <c r="AN7" s="54"/>
      <c r="AO7" s="354"/>
      <c r="AR7" s="65">
        <f t="shared" si="8"/>
        <v>0</v>
      </c>
      <c r="AS7" s="54"/>
      <c r="AT7" s="55"/>
      <c r="AU7" s="55"/>
      <c r="AV7" s="55"/>
      <c r="AW7" s="419"/>
      <c r="AX7" s="67"/>
      <c r="AY7" s="69">
        <f t="shared" si="9"/>
        <v>0</v>
      </c>
      <c r="AZ7" s="55"/>
      <c r="BA7" s="67"/>
      <c r="BB7" s="501"/>
      <c r="BE7" s="501"/>
      <c r="BF7" s="221"/>
      <c r="BH7" s="569"/>
      <c r="BI7" s="222"/>
      <c r="BJ7" s="55"/>
      <c r="BK7" s="65"/>
      <c r="BL7" s="69">
        <f t="shared" si="10"/>
        <v>0</v>
      </c>
      <c r="BM7" s="55"/>
      <c r="BN7" s="55"/>
      <c r="BO7" s="646"/>
      <c r="BP7" s="55"/>
      <c r="BQ7" s="55"/>
      <c r="BR7" s="55"/>
      <c r="BS7" s="55"/>
      <c r="BT7" s="223"/>
      <c r="BU7" s="353"/>
      <c r="BV7" s="353"/>
      <c r="BW7" s="809"/>
    </row>
    <row r="8" spans="1:75" x14ac:dyDescent="0.25">
      <c r="A8" s="54" t="s">
        <v>443</v>
      </c>
      <c r="B8" s="446" t="s">
        <v>444</v>
      </c>
      <c r="C8" s="55"/>
      <c r="D8" s="55"/>
      <c r="E8" s="55"/>
      <c r="F8" s="65"/>
      <c r="G8" s="65"/>
      <c r="H8" s="65"/>
      <c r="I8" s="65"/>
      <c r="J8" s="55"/>
      <c r="K8" s="55"/>
      <c r="L8" s="65"/>
      <c r="N8" s="55"/>
      <c r="O8" s="55"/>
      <c r="P8" s="55"/>
      <c r="Q8" s="55"/>
      <c r="R8" s="55"/>
      <c r="S8" s="55"/>
      <c r="T8" s="55"/>
      <c r="U8" s="69"/>
      <c r="V8" s="69"/>
      <c r="W8" s="122"/>
      <c r="Y8" s="207"/>
      <c r="Z8" s="69"/>
      <c r="AA8" s="55"/>
      <c r="AB8" s="223"/>
      <c r="AC8" s="55"/>
      <c r="AI8" s="258">
        <f t="shared" si="0"/>
        <v>0</v>
      </c>
      <c r="AK8" s="69">
        <f t="shared" si="7"/>
        <v>0</v>
      </c>
      <c r="AM8" s="54"/>
      <c r="AN8" s="54"/>
      <c r="AO8" s="354"/>
      <c r="AR8" s="65">
        <f t="shared" si="8"/>
        <v>0</v>
      </c>
      <c r="AS8" s="54"/>
      <c r="AT8" s="55"/>
      <c r="AU8" s="55"/>
      <c r="AV8" s="55"/>
      <c r="AW8" s="419"/>
      <c r="AX8" s="67"/>
      <c r="AY8" s="69">
        <f t="shared" si="9"/>
        <v>0</v>
      </c>
      <c r="AZ8" s="55"/>
      <c r="BA8" s="67"/>
      <c r="BB8" s="501"/>
      <c r="BE8" s="501"/>
      <c r="BF8" s="221"/>
      <c r="BH8" s="569"/>
      <c r="BI8" s="222"/>
      <c r="BJ8" s="55"/>
      <c r="BK8" s="65"/>
      <c r="BL8" s="69">
        <f t="shared" si="10"/>
        <v>0</v>
      </c>
      <c r="BM8" s="55">
        <f t="shared" si="10"/>
        <v>0</v>
      </c>
      <c r="BN8" s="55"/>
      <c r="BO8" s="646"/>
      <c r="BP8" s="55"/>
      <c r="BQ8" s="55"/>
      <c r="BR8" s="55"/>
      <c r="BS8" s="55"/>
      <c r="BT8" s="223"/>
      <c r="BU8" s="353"/>
      <c r="BV8" s="353"/>
      <c r="BW8" s="809"/>
    </row>
    <row r="9" spans="1:75" x14ac:dyDescent="0.25">
      <c r="A9" s="54" t="s">
        <v>12</v>
      </c>
      <c r="B9" s="446" t="s">
        <v>729</v>
      </c>
      <c r="C9" s="55">
        <v>0</v>
      </c>
      <c r="D9" s="55">
        <v>0</v>
      </c>
      <c r="E9" s="55">
        <v>0</v>
      </c>
      <c r="F9" s="65">
        <v>0</v>
      </c>
      <c r="G9" s="65"/>
      <c r="H9" s="65"/>
      <c r="I9" s="65">
        <f t="shared" si="1"/>
        <v>0</v>
      </c>
      <c r="J9" s="55">
        <v>0</v>
      </c>
      <c r="K9" s="55">
        <v>0</v>
      </c>
      <c r="L9" s="65">
        <v>0</v>
      </c>
      <c r="M9" s="1">
        <f t="shared" si="2"/>
        <v>0</v>
      </c>
      <c r="N9" s="55"/>
      <c r="O9" s="55"/>
      <c r="P9" s="55"/>
      <c r="Q9" s="55"/>
      <c r="R9" s="55"/>
      <c r="S9" s="55"/>
      <c r="T9" s="55"/>
      <c r="U9" s="69">
        <f t="shared" si="3"/>
        <v>0</v>
      </c>
      <c r="V9" s="69">
        <f t="shared" si="4"/>
        <v>0</v>
      </c>
      <c r="W9" s="122"/>
      <c r="Y9" s="207" t="e">
        <f t="shared" si="5"/>
        <v>#DIV/0!</v>
      </c>
      <c r="Z9" s="69">
        <f t="shared" si="6"/>
        <v>0</v>
      </c>
      <c r="AA9" s="55"/>
      <c r="AB9" s="223"/>
      <c r="AC9" s="55"/>
      <c r="AI9" s="258">
        <f t="shared" si="0"/>
        <v>0</v>
      </c>
      <c r="AK9" s="69">
        <f t="shared" si="7"/>
        <v>0</v>
      </c>
      <c r="AM9" s="54"/>
      <c r="AN9" s="54"/>
      <c r="AO9" s="354"/>
      <c r="AR9" s="65">
        <f t="shared" si="8"/>
        <v>0</v>
      </c>
      <c r="AS9" s="54"/>
      <c r="AT9" s="55"/>
      <c r="AU9" s="55"/>
      <c r="AV9" s="55"/>
      <c r="AW9" s="419"/>
      <c r="AX9" s="67"/>
      <c r="AY9" s="69">
        <f t="shared" si="9"/>
        <v>0</v>
      </c>
      <c r="AZ9" s="55"/>
      <c r="BA9" s="67"/>
      <c r="BB9" s="501"/>
      <c r="BE9" s="501"/>
      <c r="BF9" s="221"/>
      <c r="BH9" s="569"/>
      <c r="BI9" s="222"/>
      <c r="BJ9" s="55">
        <v>3125520</v>
      </c>
      <c r="BK9" s="65">
        <v>3125520</v>
      </c>
      <c r="BL9" s="69">
        <f t="shared" si="10"/>
        <v>3750624</v>
      </c>
      <c r="BM9" s="55"/>
      <c r="BN9" s="55"/>
      <c r="BO9" s="646"/>
      <c r="BP9" s="55"/>
      <c r="BQ9" s="55"/>
      <c r="BR9" s="55">
        <v>4370000</v>
      </c>
      <c r="BS9" s="55">
        <v>4370000</v>
      </c>
      <c r="BT9" s="223">
        <v>4370000</v>
      </c>
      <c r="BU9" s="353"/>
      <c r="BV9" s="353"/>
      <c r="BW9" s="809"/>
    </row>
    <row r="10" spans="1:75" x14ac:dyDescent="0.25">
      <c r="A10" s="54" t="s">
        <v>13</v>
      </c>
      <c r="B10" s="446" t="s">
        <v>181</v>
      </c>
      <c r="C10" s="55">
        <v>0</v>
      </c>
      <c r="D10" s="55">
        <v>0</v>
      </c>
      <c r="E10" s="55">
        <v>0</v>
      </c>
      <c r="F10" s="65">
        <v>0</v>
      </c>
      <c r="G10" s="65"/>
      <c r="H10" s="65"/>
      <c r="I10" s="65">
        <f t="shared" si="1"/>
        <v>0</v>
      </c>
      <c r="J10" s="55">
        <v>0</v>
      </c>
      <c r="K10" s="55">
        <v>0</v>
      </c>
      <c r="L10" s="65">
        <v>0</v>
      </c>
      <c r="M10" s="1">
        <f t="shared" si="2"/>
        <v>0</v>
      </c>
      <c r="N10" s="55"/>
      <c r="O10" s="55"/>
      <c r="P10" s="55"/>
      <c r="Q10" s="55"/>
      <c r="R10" s="55"/>
      <c r="S10" s="55"/>
      <c r="T10" s="55"/>
      <c r="U10" s="69">
        <f t="shared" si="3"/>
        <v>0</v>
      </c>
      <c r="V10" s="69">
        <f t="shared" si="4"/>
        <v>0</v>
      </c>
      <c r="W10" s="122"/>
      <c r="Y10" s="207" t="e">
        <f t="shared" si="5"/>
        <v>#DIV/0!</v>
      </c>
      <c r="Z10" s="69">
        <f t="shared" si="6"/>
        <v>0</v>
      </c>
      <c r="AA10" s="55"/>
      <c r="AB10" s="223"/>
      <c r="AC10" s="55"/>
      <c r="AI10" s="258">
        <f t="shared" si="0"/>
        <v>0</v>
      </c>
      <c r="AK10" s="69">
        <f t="shared" si="7"/>
        <v>0</v>
      </c>
      <c r="AM10" s="54"/>
      <c r="AN10" s="54"/>
      <c r="AO10" s="354"/>
      <c r="AR10" s="65">
        <f t="shared" si="8"/>
        <v>0</v>
      </c>
      <c r="AS10" s="54"/>
      <c r="AT10" s="55"/>
      <c r="AU10" s="55"/>
      <c r="AV10" s="55"/>
      <c r="AW10" s="419"/>
      <c r="AX10" s="67"/>
      <c r="AY10" s="69">
        <f t="shared" si="9"/>
        <v>0</v>
      </c>
      <c r="AZ10" s="55"/>
      <c r="BA10" s="67"/>
      <c r="BB10" s="501"/>
      <c r="BE10" s="501"/>
      <c r="BF10" s="221"/>
      <c r="BH10" s="569"/>
      <c r="BI10" s="222"/>
      <c r="BJ10" s="55"/>
      <c r="BK10" s="65"/>
      <c r="BL10" s="69">
        <f t="shared" si="10"/>
        <v>0</v>
      </c>
      <c r="BM10" s="55">
        <v>4200000</v>
      </c>
      <c r="BN10" s="55">
        <v>4200000</v>
      </c>
      <c r="BO10" s="646">
        <v>4200000</v>
      </c>
      <c r="BP10" s="637">
        <v>0</v>
      </c>
      <c r="BQ10" s="55"/>
      <c r="BR10" s="55"/>
      <c r="BS10" s="55"/>
      <c r="BT10" s="223"/>
      <c r="BU10" s="353"/>
      <c r="BV10" s="353"/>
      <c r="BW10" s="809"/>
    </row>
    <row r="11" spans="1:75" x14ac:dyDescent="0.25">
      <c r="A11" s="54" t="s">
        <v>440</v>
      </c>
      <c r="B11" s="446" t="s">
        <v>441</v>
      </c>
      <c r="C11" s="55"/>
      <c r="D11" s="55"/>
      <c r="E11" s="55"/>
      <c r="F11" s="65"/>
      <c r="G11" s="65"/>
      <c r="H11" s="65"/>
      <c r="I11" s="65"/>
      <c r="J11" s="55"/>
      <c r="K11" s="55"/>
      <c r="L11" s="65"/>
      <c r="N11" s="55"/>
      <c r="O11" s="55"/>
      <c r="P11" s="55"/>
      <c r="Q11" s="55"/>
      <c r="R11" s="55"/>
      <c r="S11" s="55"/>
      <c r="T11" s="55"/>
      <c r="U11" s="69"/>
      <c r="V11" s="69"/>
      <c r="W11" s="122"/>
      <c r="Y11" s="207"/>
      <c r="Z11" s="69"/>
      <c r="AA11" s="55"/>
      <c r="AB11" s="223"/>
      <c r="AC11" s="55"/>
      <c r="AI11" s="258">
        <f t="shared" si="0"/>
        <v>0</v>
      </c>
      <c r="AK11" s="69">
        <f t="shared" si="7"/>
        <v>0</v>
      </c>
      <c r="AM11" s="54"/>
      <c r="AN11" s="54"/>
      <c r="AO11" s="354"/>
      <c r="AR11" s="65">
        <f t="shared" si="8"/>
        <v>0</v>
      </c>
      <c r="AS11" s="54"/>
      <c r="AT11" s="55"/>
      <c r="AU11" s="55"/>
      <c r="AV11" s="55"/>
      <c r="AW11" s="419"/>
      <c r="AX11" s="67"/>
      <c r="AY11" s="69">
        <f t="shared" si="9"/>
        <v>0</v>
      </c>
      <c r="AZ11" s="55"/>
      <c r="BA11" s="67"/>
      <c r="BB11" s="501"/>
      <c r="BE11" s="501"/>
      <c r="BF11" s="221"/>
      <c r="BH11" s="569"/>
      <c r="BI11" s="222"/>
      <c r="BJ11" s="55"/>
      <c r="BK11" s="65"/>
      <c r="BL11" s="69">
        <f t="shared" si="10"/>
        <v>0</v>
      </c>
      <c r="BM11" s="55">
        <f t="shared" si="10"/>
        <v>0</v>
      </c>
      <c r="BN11" s="55"/>
      <c r="BO11" s="672"/>
      <c r="BP11" s="65"/>
      <c r="BQ11" s="55"/>
      <c r="BR11" s="55"/>
      <c r="BS11" s="55"/>
      <c r="BT11" s="223"/>
      <c r="BU11" s="353"/>
      <c r="BV11" s="353"/>
      <c r="BW11" s="809"/>
    </row>
    <row r="12" spans="1:75" x14ac:dyDescent="0.25">
      <c r="A12" s="54" t="s">
        <v>14</v>
      </c>
      <c r="B12" s="446" t="s">
        <v>182</v>
      </c>
      <c r="C12" s="55">
        <v>0</v>
      </c>
      <c r="D12" s="55">
        <v>0</v>
      </c>
      <c r="E12" s="55">
        <v>0</v>
      </c>
      <c r="F12" s="65">
        <v>0</v>
      </c>
      <c r="G12" s="65"/>
      <c r="H12" s="65"/>
      <c r="I12" s="65">
        <f t="shared" si="1"/>
        <v>0</v>
      </c>
      <c r="J12" s="55">
        <v>0</v>
      </c>
      <c r="K12" s="55">
        <v>0</v>
      </c>
      <c r="L12" s="65">
        <v>0</v>
      </c>
      <c r="M12" s="1">
        <f t="shared" si="2"/>
        <v>0</v>
      </c>
      <c r="N12" s="55"/>
      <c r="O12" s="55"/>
      <c r="P12" s="55"/>
      <c r="Q12" s="55"/>
      <c r="R12" s="55"/>
      <c r="S12" s="55"/>
      <c r="T12" s="55"/>
      <c r="U12" s="69">
        <f t="shared" si="3"/>
        <v>0</v>
      </c>
      <c r="V12" s="69">
        <f t="shared" si="4"/>
        <v>0</v>
      </c>
      <c r="W12" s="122"/>
      <c r="Y12" s="207" t="e">
        <f t="shared" si="5"/>
        <v>#DIV/0!</v>
      </c>
      <c r="Z12" s="69">
        <f t="shared" si="6"/>
        <v>0</v>
      </c>
      <c r="AA12" s="55"/>
      <c r="AB12" s="223"/>
      <c r="AC12" s="55"/>
      <c r="AI12" s="258">
        <f t="shared" si="0"/>
        <v>0</v>
      </c>
      <c r="AK12" s="69">
        <f t="shared" si="7"/>
        <v>0</v>
      </c>
      <c r="AM12" s="54"/>
      <c r="AN12" s="349"/>
      <c r="AO12" s="354"/>
      <c r="AR12" s="65">
        <f t="shared" si="8"/>
        <v>0</v>
      </c>
      <c r="AS12" s="54"/>
      <c r="AT12" s="55"/>
      <c r="AU12" s="55"/>
      <c r="AV12" s="55"/>
      <c r="AW12" s="367"/>
      <c r="AX12" s="67"/>
      <c r="AY12" s="69">
        <f t="shared" si="9"/>
        <v>0</v>
      </c>
      <c r="AZ12" s="55"/>
      <c r="BA12" s="67"/>
      <c r="BB12" s="501"/>
      <c r="BE12" s="501"/>
      <c r="BF12" s="221"/>
      <c r="BH12" s="569"/>
      <c r="BI12" s="222"/>
      <c r="BJ12" s="55"/>
      <c r="BK12" s="65"/>
      <c r="BL12" s="69">
        <f t="shared" si="10"/>
        <v>0</v>
      </c>
      <c r="BM12" s="55">
        <f t="shared" si="10"/>
        <v>0</v>
      </c>
      <c r="BN12" s="55"/>
      <c r="BO12" s="672"/>
      <c r="BP12" s="65"/>
      <c r="BQ12" s="65"/>
      <c r="BR12" s="55"/>
      <c r="BS12" s="55"/>
      <c r="BT12" s="223"/>
      <c r="BU12" s="353"/>
      <c r="BV12" s="353"/>
      <c r="BW12" s="809"/>
    </row>
    <row r="13" spans="1:75" x14ac:dyDescent="0.25">
      <c r="A13" s="54" t="s">
        <v>15</v>
      </c>
      <c r="B13" s="446" t="s">
        <v>183</v>
      </c>
      <c r="C13" s="55">
        <v>0</v>
      </c>
      <c r="D13" s="55">
        <v>0</v>
      </c>
      <c r="E13" s="55">
        <v>0</v>
      </c>
      <c r="F13" s="65">
        <v>0</v>
      </c>
      <c r="G13" s="65"/>
      <c r="H13" s="65"/>
      <c r="I13" s="65">
        <f t="shared" si="1"/>
        <v>0</v>
      </c>
      <c r="J13" s="55">
        <v>0</v>
      </c>
      <c r="K13" s="55">
        <v>0</v>
      </c>
      <c r="L13" s="65">
        <v>0</v>
      </c>
      <c r="M13" s="1">
        <f t="shared" si="2"/>
        <v>0</v>
      </c>
      <c r="N13" s="55"/>
      <c r="O13" s="55"/>
      <c r="P13" s="55"/>
      <c r="Q13" s="55"/>
      <c r="R13" s="55"/>
      <c r="S13" s="55"/>
      <c r="T13" s="55"/>
      <c r="U13" s="69">
        <f t="shared" si="3"/>
        <v>0</v>
      </c>
      <c r="V13" s="69">
        <f t="shared" si="4"/>
        <v>0</v>
      </c>
      <c r="W13" s="122"/>
      <c r="Y13" s="207" t="e">
        <f t="shared" si="5"/>
        <v>#DIV/0!</v>
      </c>
      <c r="Z13" s="69">
        <f t="shared" si="6"/>
        <v>0</v>
      </c>
      <c r="AA13" s="55"/>
      <c r="AB13" s="223"/>
      <c r="AC13" s="55"/>
      <c r="AI13" s="258">
        <f t="shared" si="0"/>
        <v>0</v>
      </c>
      <c r="AK13" s="69">
        <f t="shared" si="7"/>
        <v>0</v>
      </c>
      <c r="AM13" s="54"/>
      <c r="AN13" s="349"/>
      <c r="AO13" s="354"/>
      <c r="AR13" s="65">
        <f t="shared" si="8"/>
        <v>0</v>
      </c>
      <c r="AS13" s="54"/>
      <c r="AT13" s="55"/>
      <c r="AU13" s="55"/>
      <c r="AV13" s="55"/>
      <c r="AW13" s="367"/>
      <c r="AX13" s="67"/>
      <c r="AY13" s="69">
        <f t="shared" si="9"/>
        <v>0</v>
      </c>
      <c r="AZ13" s="55"/>
      <c r="BA13" s="67"/>
      <c r="BB13" s="501"/>
      <c r="BE13" s="501"/>
      <c r="BF13" s="221"/>
      <c r="BH13" s="569"/>
      <c r="BI13" s="222"/>
      <c r="BJ13" s="55"/>
      <c r="BK13" s="65"/>
      <c r="BL13" s="69">
        <f t="shared" si="10"/>
        <v>0</v>
      </c>
      <c r="BM13" s="55">
        <f t="shared" si="10"/>
        <v>0</v>
      </c>
      <c r="BN13" s="55"/>
      <c r="BO13" s="672"/>
      <c r="BP13" s="65"/>
      <c r="BQ13" s="65"/>
      <c r="BR13" s="55"/>
      <c r="BS13" s="55"/>
      <c r="BT13" s="223"/>
      <c r="BU13" s="353"/>
      <c r="BV13" s="353"/>
      <c r="BW13" s="809"/>
    </row>
    <row r="14" spans="1:75" x14ac:dyDescent="0.25">
      <c r="A14" s="54" t="s">
        <v>16</v>
      </c>
      <c r="B14" s="446" t="s">
        <v>184</v>
      </c>
      <c r="C14" s="55">
        <v>0</v>
      </c>
      <c r="D14" s="55">
        <v>0</v>
      </c>
      <c r="E14" s="55">
        <v>0</v>
      </c>
      <c r="F14" s="65">
        <v>0</v>
      </c>
      <c r="G14" s="65"/>
      <c r="H14" s="65"/>
      <c r="I14" s="65">
        <f t="shared" si="1"/>
        <v>0</v>
      </c>
      <c r="J14" s="55">
        <v>0</v>
      </c>
      <c r="K14" s="55">
        <v>0</v>
      </c>
      <c r="L14" s="65">
        <v>0</v>
      </c>
      <c r="M14" s="1">
        <f t="shared" si="2"/>
        <v>0</v>
      </c>
      <c r="N14" s="55"/>
      <c r="O14" s="55"/>
      <c r="P14" s="55"/>
      <c r="Q14" s="55"/>
      <c r="R14" s="55"/>
      <c r="S14" s="55"/>
      <c r="T14" s="55"/>
      <c r="U14" s="69">
        <f t="shared" si="3"/>
        <v>0</v>
      </c>
      <c r="V14" s="69">
        <f t="shared" si="4"/>
        <v>0</v>
      </c>
      <c r="W14" s="122"/>
      <c r="Y14" s="207" t="e">
        <f t="shared" si="5"/>
        <v>#DIV/0!</v>
      </c>
      <c r="Z14" s="69">
        <f t="shared" si="6"/>
        <v>0</v>
      </c>
      <c r="AA14" s="55"/>
      <c r="AB14" s="223"/>
      <c r="AC14" s="55"/>
      <c r="AI14" s="258">
        <f t="shared" si="0"/>
        <v>0</v>
      </c>
      <c r="AK14" s="69">
        <f t="shared" si="7"/>
        <v>0</v>
      </c>
      <c r="AM14" s="54"/>
      <c r="AN14" s="349"/>
      <c r="AO14" s="354"/>
      <c r="AR14" s="65">
        <f t="shared" si="8"/>
        <v>0</v>
      </c>
      <c r="AS14" s="54"/>
      <c r="AT14" s="55"/>
      <c r="AU14" s="55"/>
      <c r="AV14" s="55"/>
      <c r="AW14" s="367"/>
      <c r="AX14" s="67"/>
      <c r="AY14" s="69">
        <f t="shared" si="9"/>
        <v>0</v>
      </c>
      <c r="AZ14" s="55"/>
      <c r="BA14" s="67"/>
      <c r="BB14" s="501"/>
      <c r="BE14" s="501"/>
      <c r="BF14" s="221"/>
      <c r="BH14" s="569"/>
      <c r="BI14" s="222"/>
      <c r="BJ14" s="55"/>
      <c r="BK14" s="65"/>
      <c r="BL14" s="69">
        <f t="shared" si="10"/>
        <v>0</v>
      </c>
      <c r="BM14" s="55">
        <f t="shared" si="10"/>
        <v>0</v>
      </c>
      <c r="BN14" s="55"/>
      <c r="BO14" s="65"/>
      <c r="BP14" s="65"/>
      <c r="BQ14" s="65"/>
      <c r="BR14" s="55"/>
      <c r="BS14" s="55"/>
      <c r="BT14" s="223"/>
      <c r="BU14" s="353"/>
      <c r="BV14" s="353"/>
      <c r="BW14" s="809"/>
    </row>
    <row r="15" spans="1:75" x14ac:dyDescent="0.25">
      <c r="A15" s="54" t="s">
        <v>17</v>
      </c>
      <c r="B15" s="446" t="s">
        <v>185</v>
      </c>
      <c r="C15" s="55">
        <v>0</v>
      </c>
      <c r="D15" s="55">
        <v>0</v>
      </c>
      <c r="E15" s="55">
        <v>0</v>
      </c>
      <c r="F15" s="65">
        <v>0</v>
      </c>
      <c r="G15" s="65"/>
      <c r="H15" s="65"/>
      <c r="I15" s="65">
        <f t="shared" si="1"/>
        <v>0</v>
      </c>
      <c r="J15" s="55">
        <v>0</v>
      </c>
      <c r="K15" s="55">
        <v>0</v>
      </c>
      <c r="L15" s="65">
        <v>0</v>
      </c>
      <c r="M15" s="1">
        <f t="shared" si="2"/>
        <v>0</v>
      </c>
      <c r="N15" s="55"/>
      <c r="O15" s="55"/>
      <c r="P15" s="55"/>
      <c r="Q15" s="55"/>
      <c r="R15" s="55"/>
      <c r="S15" s="55"/>
      <c r="T15" s="55"/>
      <c r="U15" s="69">
        <f t="shared" si="3"/>
        <v>0</v>
      </c>
      <c r="V15" s="69">
        <f t="shared" si="4"/>
        <v>0</v>
      </c>
      <c r="W15" s="122"/>
      <c r="Y15" s="207" t="e">
        <f t="shared" si="5"/>
        <v>#DIV/0!</v>
      </c>
      <c r="Z15" s="69">
        <f t="shared" si="6"/>
        <v>0</v>
      </c>
      <c r="AA15" s="55"/>
      <c r="AB15" s="223"/>
      <c r="AC15" s="55"/>
      <c r="AI15" s="258">
        <f t="shared" si="0"/>
        <v>0</v>
      </c>
      <c r="AK15" s="69">
        <f t="shared" si="7"/>
        <v>0</v>
      </c>
      <c r="AM15" s="54"/>
      <c r="AN15" s="349"/>
      <c r="AO15" s="354"/>
      <c r="AR15" s="65">
        <f t="shared" si="8"/>
        <v>0</v>
      </c>
      <c r="AS15" s="54"/>
      <c r="AT15" s="55"/>
      <c r="AU15" s="55"/>
      <c r="AV15" s="55"/>
      <c r="AW15" s="367"/>
      <c r="AX15" s="67"/>
      <c r="AY15" s="69">
        <f t="shared" si="9"/>
        <v>0</v>
      </c>
      <c r="AZ15" s="55"/>
      <c r="BA15" s="67"/>
      <c r="BB15" s="501"/>
      <c r="BE15" s="501"/>
      <c r="BF15" s="221"/>
      <c r="BH15" s="569"/>
      <c r="BI15" s="222"/>
      <c r="BJ15" s="55"/>
      <c r="BK15" s="65"/>
      <c r="BL15" s="69">
        <f t="shared" si="10"/>
        <v>0</v>
      </c>
      <c r="BM15" s="55">
        <f t="shared" si="10"/>
        <v>0</v>
      </c>
      <c r="BN15" s="55"/>
      <c r="BO15" s="65"/>
      <c r="BP15" s="65"/>
      <c r="BQ15" s="65"/>
      <c r="BR15" s="55"/>
      <c r="BS15" s="55"/>
      <c r="BT15" s="223"/>
      <c r="BU15" s="353"/>
      <c r="BV15" s="353"/>
      <c r="BW15" s="809"/>
    </row>
    <row r="16" spans="1:75" ht="15.75" x14ac:dyDescent="0.25">
      <c r="A16" s="54" t="s">
        <v>18</v>
      </c>
      <c r="B16" s="446" t="s">
        <v>186</v>
      </c>
      <c r="C16" s="55">
        <v>0</v>
      </c>
      <c r="D16" s="55">
        <v>0</v>
      </c>
      <c r="E16" s="55">
        <v>0</v>
      </c>
      <c r="F16" s="65">
        <v>0</v>
      </c>
      <c r="G16" s="65"/>
      <c r="H16" s="65"/>
      <c r="I16" s="65">
        <f t="shared" si="1"/>
        <v>0</v>
      </c>
      <c r="J16" s="55">
        <v>0</v>
      </c>
      <c r="K16" s="55">
        <v>0</v>
      </c>
      <c r="L16" s="65">
        <v>0</v>
      </c>
      <c r="M16" s="1">
        <f t="shared" si="2"/>
        <v>0</v>
      </c>
      <c r="N16" s="55"/>
      <c r="O16" s="55"/>
      <c r="P16" s="55"/>
      <c r="Q16" s="55"/>
      <c r="R16" s="55"/>
      <c r="S16" s="55"/>
      <c r="T16" s="55"/>
      <c r="U16" s="69">
        <f t="shared" si="3"/>
        <v>0</v>
      </c>
      <c r="V16" s="69">
        <f t="shared" si="4"/>
        <v>0</v>
      </c>
      <c r="W16" s="122"/>
      <c r="Y16" s="207" t="e">
        <f t="shared" si="5"/>
        <v>#DIV/0!</v>
      </c>
      <c r="Z16" s="69">
        <f t="shared" si="6"/>
        <v>0</v>
      </c>
      <c r="AA16" s="55"/>
      <c r="AB16" s="223"/>
      <c r="AC16" s="55"/>
      <c r="AI16" s="258">
        <f t="shared" si="0"/>
        <v>0</v>
      </c>
      <c r="AK16" s="69">
        <f t="shared" si="7"/>
        <v>0</v>
      </c>
      <c r="AM16" s="54"/>
      <c r="AN16" s="349"/>
      <c r="AO16" s="380"/>
      <c r="AR16" s="65">
        <f t="shared" si="8"/>
        <v>0</v>
      </c>
      <c r="AS16" s="54"/>
      <c r="AT16" s="55"/>
      <c r="AU16" s="55"/>
      <c r="AV16" s="55"/>
      <c r="AW16" s="367"/>
      <c r="AX16" s="67"/>
      <c r="AY16" s="69">
        <f t="shared" si="9"/>
        <v>0</v>
      </c>
      <c r="AZ16" s="55"/>
      <c r="BA16" s="67"/>
      <c r="BB16" s="501"/>
      <c r="BE16" s="501"/>
      <c r="BF16" s="221"/>
      <c r="BH16" s="569"/>
      <c r="BI16" s="222"/>
      <c r="BJ16" s="55"/>
      <c r="BK16" s="65"/>
      <c r="BL16" s="69">
        <f t="shared" si="10"/>
        <v>0</v>
      </c>
      <c r="BM16" s="55">
        <f t="shared" si="10"/>
        <v>0</v>
      </c>
      <c r="BN16" s="55"/>
      <c r="BO16" s="65"/>
      <c r="BP16" s="65"/>
      <c r="BQ16" s="65"/>
      <c r="BR16" s="55"/>
      <c r="BS16" s="55"/>
      <c r="BT16" s="223"/>
      <c r="BU16" s="353"/>
      <c r="BV16" s="353"/>
      <c r="BW16" s="809"/>
    </row>
    <row r="17" spans="1:77" x14ac:dyDescent="0.25">
      <c r="A17" s="54" t="s">
        <v>19</v>
      </c>
      <c r="B17" s="446" t="s">
        <v>187</v>
      </c>
      <c r="C17" s="55">
        <v>0</v>
      </c>
      <c r="D17" s="55">
        <v>0</v>
      </c>
      <c r="E17" s="55">
        <v>0</v>
      </c>
      <c r="F17" s="65">
        <v>0</v>
      </c>
      <c r="G17" s="65"/>
      <c r="H17" s="65"/>
      <c r="I17" s="65">
        <f t="shared" si="1"/>
        <v>0</v>
      </c>
      <c r="J17" s="55">
        <v>0</v>
      </c>
      <c r="K17" s="55">
        <v>0</v>
      </c>
      <c r="L17" s="65">
        <v>0</v>
      </c>
      <c r="M17" s="1">
        <f t="shared" si="2"/>
        <v>0</v>
      </c>
      <c r="N17" s="55"/>
      <c r="O17" s="55"/>
      <c r="P17" s="55"/>
      <c r="Q17" s="55"/>
      <c r="R17" s="55"/>
      <c r="S17" s="55"/>
      <c r="T17" s="55"/>
      <c r="U17" s="69">
        <f t="shared" si="3"/>
        <v>0</v>
      </c>
      <c r="V17" s="69">
        <f t="shared" si="4"/>
        <v>0</v>
      </c>
      <c r="W17" s="122"/>
      <c r="Y17" s="207" t="e">
        <f t="shared" si="5"/>
        <v>#DIV/0!</v>
      </c>
      <c r="Z17" s="69">
        <f t="shared" si="6"/>
        <v>0</v>
      </c>
      <c r="AA17" s="55"/>
      <c r="AB17" s="223"/>
      <c r="AC17" s="55"/>
      <c r="AI17" s="258">
        <f t="shared" si="0"/>
        <v>0</v>
      </c>
      <c r="AK17" s="69">
        <f t="shared" si="7"/>
        <v>0</v>
      </c>
      <c r="AM17" s="54"/>
      <c r="AN17" s="349"/>
      <c r="AO17" s="354"/>
      <c r="AR17" s="65">
        <f t="shared" si="8"/>
        <v>0</v>
      </c>
      <c r="AS17" s="54"/>
      <c r="AT17" s="55"/>
      <c r="AU17" s="55"/>
      <c r="AV17" s="55"/>
      <c r="AW17" s="367"/>
      <c r="AX17" s="67"/>
      <c r="AY17" s="69">
        <f t="shared" si="9"/>
        <v>0</v>
      </c>
      <c r="AZ17" s="55"/>
      <c r="BA17" s="67"/>
      <c r="BB17" s="501"/>
      <c r="BE17" s="501"/>
      <c r="BF17" s="221"/>
      <c r="BH17" s="569"/>
      <c r="BI17" s="222"/>
      <c r="BJ17" s="55"/>
      <c r="BK17" s="65"/>
      <c r="BL17" s="69">
        <f t="shared" si="10"/>
        <v>0</v>
      </c>
      <c r="BM17" s="55">
        <f t="shared" si="10"/>
        <v>0</v>
      </c>
      <c r="BN17" s="55"/>
      <c r="BO17" s="55"/>
      <c r="BP17" s="55"/>
      <c r="BQ17" s="55"/>
      <c r="BR17" s="55"/>
      <c r="BS17" s="55"/>
      <c r="BT17" s="223"/>
      <c r="BU17" s="353"/>
      <c r="BV17" s="353"/>
      <c r="BW17" s="809"/>
    </row>
    <row r="18" spans="1:77" x14ac:dyDescent="0.25">
      <c r="A18" s="54" t="s">
        <v>20</v>
      </c>
      <c r="B18" s="446" t="s">
        <v>188</v>
      </c>
      <c r="C18" s="55">
        <v>2000000</v>
      </c>
      <c r="D18" s="55">
        <v>2906477</v>
      </c>
      <c r="E18" s="55">
        <v>3200000</v>
      </c>
      <c r="F18" s="65">
        <v>3514709</v>
      </c>
      <c r="G18" s="65">
        <v>3700000</v>
      </c>
      <c r="H18" s="65">
        <v>3733300</v>
      </c>
      <c r="I18" s="65">
        <f t="shared" si="1"/>
        <v>4072690.9090909092</v>
      </c>
      <c r="J18" s="55">
        <v>4500000</v>
      </c>
      <c r="K18" s="55">
        <v>4500000</v>
      </c>
      <c r="L18" s="65">
        <v>4500000</v>
      </c>
      <c r="M18" s="1">
        <f t="shared" si="2"/>
        <v>110.49205796480325</v>
      </c>
      <c r="N18" s="55">
        <v>4500000</v>
      </c>
      <c r="O18" s="55">
        <f>4141779+5980</f>
        <v>4147759</v>
      </c>
      <c r="P18" s="55">
        <v>4316123</v>
      </c>
      <c r="Q18" s="55">
        <v>4500000</v>
      </c>
      <c r="R18" s="55">
        <v>4500000</v>
      </c>
      <c r="S18" s="55">
        <v>4861422</v>
      </c>
      <c r="T18" s="55">
        <v>4500000</v>
      </c>
      <c r="U18" s="69">
        <f t="shared" si="3"/>
        <v>4500000</v>
      </c>
      <c r="V18" s="69">
        <f t="shared" si="4"/>
        <v>4500000</v>
      </c>
      <c r="W18" s="122">
        <f t="shared" ref="W18:W76" si="11">S18/U18</f>
        <v>1.0803160000000001</v>
      </c>
      <c r="Y18" s="207">
        <f t="shared" si="5"/>
        <v>0.92565508610443614</v>
      </c>
      <c r="Z18" s="69">
        <f t="shared" si="6"/>
        <v>4500000</v>
      </c>
      <c r="AA18" s="55">
        <v>2773429</v>
      </c>
      <c r="AB18" s="223">
        <v>3293980</v>
      </c>
      <c r="AC18" s="55">
        <v>9658489</v>
      </c>
      <c r="AD18" s="122">
        <f>(AC18+AC22)/Z18*100</f>
        <v>222.72717777777777</v>
      </c>
      <c r="AE18" s="122"/>
      <c r="AF18" s="55">
        <v>4500000</v>
      </c>
      <c r="AG18" s="222">
        <v>3663811</v>
      </c>
      <c r="AI18" s="258">
        <f t="shared" si="0"/>
        <v>0</v>
      </c>
      <c r="AJ18" s="230">
        <v>4500000</v>
      </c>
      <c r="AK18" s="69">
        <f t="shared" si="7"/>
        <v>4500000</v>
      </c>
      <c r="AM18" s="349">
        <v>4057176</v>
      </c>
      <c r="AN18" s="349"/>
      <c r="AO18" s="354"/>
      <c r="AP18" s="65">
        <v>4500000</v>
      </c>
      <c r="AQ18" s="222">
        <v>1563125</v>
      </c>
      <c r="AR18" s="65">
        <f t="shared" si="8"/>
        <v>2936875</v>
      </c>
      <c r="AS18" s="54">
        <f t="shared" ref="AS18:AS70" si="12">AQ18/AP18*100</f>
        <v>34.736111111111114</v>
      </c>
      <c r="AT18" s="55">
        <v>1628550</v>
      </c>
      <c r="AU18" s="55">
        <f>AP18-AT18</f>
        <v>2871450</v>
      </c>
      <c r="AV18" s="55">
        <f>(AU18/AP18*100)</f>
        <v>63.81</v>
      </c>
      <c r="AW18" s="367">
        <v>4500000</v>
      </c>
      <c r="AX18" s="67">
        <v>4500000</v>
      </c>
      <c r="AY18" s="69">
        <f t="shared" si="9"/>
        <v>4500000</v>
      </c>
      <c r="AZ18" s="55">
        <f t="shared" si="9"/>
        <v>4500000</v>
      </c>
      <c r="BA18" s="67">
        <f t="shared" si="9"/>
        <v>4500000</v>
      </c>
      <c r="BB18" s="501">
        <v>4500000</v>
      </c>
      <c r="BC18" s="501">
        <v>4500000</v>
      </c>
      <c r="BD18" s="501">
        <v>1173973</v>
      </c>
      <c r="BE18" s="501">
        <v>1485273</v>
      </c>
      <c r="BF18" s="221">
        <v>1563769</v>
      </c>
      <c r="BG18" s="515">
        <f>BF18/10*12</f>
        <v>1876522.7999999998</v>
      </c>
      <c r="BH18" s="569">
        <v>4000000</v>
      </c>
      <c r="BI18" s="222">
        <v>4000000</v>
      </c>
      <c r="BJ18" s="55">
        <v>3536174</v>
      </c>
      <c r="BK18" s="65">
        <v>5636792</v>
      </c>
      <c r="BL18" s="69">
        <f t="shared" si="10"/>
        <v>6764150.3999999994</v>
      </c>
      <c r="BM18" s="55">
        <v>8000000</v>
      </c>
      <c r="BN18" s="55">
        <v>8000000</v>
      </c>
      <c r="BO18" s="55">
        <v>5499598</v>
      </c>
      <c r="BP18" s="55">
        <f>BO18/10*12</f>
        <v>6599517.6000000006</v>
      </c>
      <c r="BQ18" s="55">
        <v>6500602</v>
      </c>
      <c r="BR18" s="65">
        <v>5500000</v>
      </c>
      <c r="BS18" s="65">
        <v>5500000</v>
      </c>
      <c r="BT18" s="222">
        <v>6500000</v>
      </c>
      <c r="BU18" s="353">
        <v>7000000</v>
      </c>
      <c r="BV18" s="353">
        <v>9000000</v>
      </c>
      <c r="BW18" s="809"/>
    </row>
    <row r="19" spans="1:77" x14ac:dyDescent="0.25">
      <c r="A19" s="54" t="s">
        <v>21</v>
      </c>
      <c r="B19" s="446" t="s">
        <v>189</v>
      </c>
      <c r="C19" s="55">
        <v>0</v>
      </c>
      <c r="D19" s="55">
        <v>0</v>
      </c>
      <c r="E19" s="55">
        <v>0</v>
      </c>
      <c r="F19" s="65">
        <v>0</v>
      </c>
      <c r="G19" s="65"/>
      <c r="H19" s="65"/>
      <c r="I19" s="65">
        <f t="shared" si="1"/>
        <v>0</v>
      </c>
      <c r="J19" s="55">
        <v>0</v>
      </c>
      <c r="K19" s="55">
        <v>0</v>
      </c>
      <c r="L19" s="65">
        <v>0</v>
      </c>
      <c r="M19" s="1">
        <f t="shared" si="2"/>
        <v>0</v>
      </c>
      <c r="N19" s="55"/>
      <c r="O19" s="55"/>
      <c r="P19" s="55"/>
      <c r="Q19" s="55"/>
      <c r="R19" s="55"/>
      <c r="S19" s="55"/>
      <c r="T19" s="55"/>
      <c r="U19" s="69">
        <f t="shared" si="3"/>
        <v>0</v>
      </c>
      <c r="V19" s="69">
        <f t="shared" si="4"/>
        <v>0</v>
      </c>
      <c r="W19" s="122"/>
      <c r="Y19" s="207" t="e">
        <f t="shared" si="5"/>
        <v>#DIV/0!</v>
      </c>
      <c r="Z19" s="69">
        <f t="shared" si="6"/>
        <v>0</v>
      </c>
      <c r="AA19" s="55"/>
      <c r="AB19" s="223"/>
      <c r="AC19" s="55"/>
      <c r="AI19" s="258">
        <f t="shared" si="0"/>
        <v>0</v>
      </c>
      <c r="AK19" s="69">
        <f t="shared" si="7"/>
        <v>0</v>
      </c>
      <c r="AM19" s="349"/>
      <c r="AN19" s="349"/>
      <c r="AO19" s="354"/>
      <c r="AQ19" s="222">
        <v>15748</v>
      </c>
      <c r="AR19" s="65">
        <f t="shared" si="8"/>
        <v>-15748</v>
      </c>
      <c r="AS19" s="54"/>
      <c r="AT19" s="55">
        <v>15748</v>
      </c>
      <c r="AU19" s="55">
        <v>15748</v>
      </c>
      <c r="AV19" s="55"/>
      <c r="AW19" s="367"/>
      <c r="AX19" s="67"/>
      <c r="AY19" s="69">
        <f t="shared" si="9"/>
        <v>0</v>
      </c>
      <c r="AZ19" s="55"/>
      <c r="BA19" s="67"/>
      <c r="BB19" s="501"/>
      <c r="BE19" s="501"/>
      <c r="BF19" s="221"/>
      <c r="BG19" s="515">
        <f t="shared" ref="BG19:BG86" si="13">BF19/10*12</f>
        <v>0</v>
      </c>
      <c r="BH19" s="569"/>
      <c r="BI19" s="222"/>
      <c r="BJ19" s="55"/>
      <c r="BK19" s="65"/>
      <c r="BL19" s="69">
        <f t="shared" si="10"/>
        <v>0</v>
      </c>
      <c r="BM19" s="55">
        <f t="shared" si="10"/>
        <v>0</v>
      </c>
      <c r="BN19" s="55"/>
      <c r="BO19" s="55"/>
      <c r="BP19" s="55"/>
      <c r="BQ19" s="55"/>
      <c r="BR19" s="55"/>
      <c r="BS19" s="55"/>
      <c r="BT19" s="223"/>
      <c r="BU19" s="353"/>
      <c r="BV19" s="353"/>
      <c r="BW19" s="809"/>
    </row>
    <row r="20" spans="1:77" x14ac:dyDescent="0.25">
      <c r="A20" s="54" t="s">
        <v>22</v>
      </c>
      <c r="B20" s="58" t="s">
        <v>194</v>
      </c>
      <c r="C20" s="55">
        <v>0</v>
      </c>
      <c r="D20" s="55">
        <v>0</v>
      </c>
      <c r="E20" s="55">
        <v>0</v>
      </c>
      <c r="F20" s="65"/>
      <c r="G20" s="65"/>
      <c r="H20" s="65"/>
      <c r="I20" s="65">
        <f t="shared" si="1"/>
        <v>0</v>
      </c>
      <c r="J20" s="55"/>
      <c r="K20" s="55"/>
      <c r="L20" s="65"/>
      <c r="M20" s="1">
        <f t="shared" si="2"/>
        <v>0</v>
      </c>
      <c r="N20" s="55"/>
      <c r="O20" s="55"/>
      <c r="P20" s="55"/>
      <c r="Q20" s="55"/>
      <c r="R20" s="55"/>
      <c r="S20" s="55"/>
      <c r="T20" s="55"/>
      <c r="U20" s="69">
        <f t="shared" si="3"/>
        <v>0</v>
      </c>
      <c r="V20" s="69">
        <f t="shared" si="4"/>
        <v>0</v>
      </c>
      <c r="W20" s="122"/>
      <c r="Y20" s="207" t="e">
        <f t="shared" si="5"/>
        <v>#DIV/0!</v>
      </c>
      <c r="Z20" s="69">
        <f t="shared" si="6"/>
        <v>0</v>
      </c>
      <c r="AA20" s="55"/>
      <c r="AB20" s="223"/>
      <c r="AC20" s="55"/>
      <c r="AI20" s="258">
        <f t="shared" si="0"/>
        <v>0</v>
      </c>
      <c r="AK20" s="69">
        <f t="shared" si="7"/>
        <v>0</v>
      </c>
      <c r="AM20" s="349"/>
      <c r="AN20" s="349"/>
      <c r="AO20" s="354"/>
      <c r="AR20" s="65">
        <f t="shared" si="8"/>
        <v>0</v>
      </c>
      <c r="AS20" s="54"/>
      <c r="AT20" s="55"/>
      <c r="AU20" s="55">
        <f t="shared" ref="AU20:AU52" si="14">AP20-AT20</f>
        <v>0</v>
      </c>
      <c r="AV20" s="55"/>
      <c r="AW20" s="367"/>
      <c r="AX20" s="67"/>
      <c r="AY20" s="69">
        <f t="shared" si="9"/>
        <v>0</v>
      </c>
      <c r="AZ20" s="55"/>
      <c r="BA20" s="67"/>
      <c r="BB20" s="501"/>
      <c r="BE20" s="501"/>
      <c r="BF20" s="221"/>
      <c r="BG20" s="515">
        <f t="shared" si="13"/>
        <v>0</v>
      </c>
      <c r="BH20" s="569"/>
      <c r="BI20" s="222"/>
      <c r="BJ20" s="55"/>
      <c r="BK20" s="65"/>
      <c r="BL20" s="69">
        <f t="shared" si="10"/>
        <v>0</v>
      </c>
      <c r="BM20" s="55">
        <f t="shared" si="10"/>
        <v>0</v>
      </c>
      <c r="BN20" s="55"/>
      <c r="BO20" s="55"/>
      <c r="BP20" s="55"/>
      <c r="BQ20" s="55"/>
      <c r="BR20" s="55"/>
      <c r="BS20" s="55"/>
      <c r="BT20" s="223"/>
      <c r="BU20" s="353"/>
      <c r="BV20" s="353"/>
      <c r="BW20" s="809"/>
      <c r="BY20" t="s">
        <v>656</v>
      </c>
    </row>
    <row r="21" spans="1:77" x14ac:dyDescent="0.25">
      <c r="A21" s="54" t="s">
        <v>245</v>
      </c>
      <c r="B21" s="58" t="s">
        <v>246</v>
      </c>
      <c r="C21" s="55"/>
      <c r="D21" s="55"/>
      <c r="E21" s="55"/>
      <c r="F21" s="65"/>
      <c r="G21" s="65"/>
      <c r="H21" s="65"/>
      <c r="I21" s="65">
        <f t="shared" si="1"/>
        <v>0</v>
      </c>
      <c r="J21" s="55"/>
      <c r="K21" s="55"/>
      <c r="L21" s="65"/>
      <c r="M21" s="1">
        <f t="shared" si="2"/>
        <v>0</v>
      </c>
      <c r="N21" s="55"/>
      <c r="O21" s="55"/>
      <c r="P21" s="55"/>
      <c r="Q21" s="55"/>
      <c r="R21" s="55"/>
      <c r="S21" s="55"/>
      <c r="T21" s="55"/>
      <c r="U21" s="69">
        <f t="shared" si="3"/>
        <v>0</v>
      </c>
      <c r="V21" s="69">
        <f t="shared" si="4"/>
        <v>0</v>
      </c>
      <c r="W21" s="122"/>
      <c r="Y21" s="207" t="e">
        <f t="shared" si="5"/>
        <v>#DIV/0!</v>
      </c>
      <c r="Z21" s="69">
        <f t="shared" si="6"/>
        <v>0</v>
      </c>
      <c r="AA21" s="55"/>
      <c r="AB21" s="223"/>
      <c r="AC21" s="55"/>
      <c r="AI21" s="258">
        <f t="shared" si="0"/>
        <v>0</v>
      </c>
      <c r="AK21" s="69">
        <f t="shared" si="7"/>
        <v>0</v>
      </c>
      <c r="AM21" s="349"/>
      <c r="AN21" s="349"/>
      <c r="AO21" s="354"/>
      <c r="AR21" s="65">
        <f t="shared" si="8"/>
        <v>0</v>
      </c>
      <c r="AS21" s="54"/>
      <c r="AT21" s="55"/>
      <c r="AU21" s="55">
        <f t="shared" si="14"/>
        <v>0</v>
      </c>
      <c r="AV21" s="55"/>
      <c r="AW21" s="367"/>
      <c r="AX21" s="67"/>
      <c r="AY21" s="69">
        <f t="shared" si="9"/>
        <v>0</v>
      </c>
      <c r="AZ21" s="55"/>
      <c r="BA21" s="67"/>
      <c r="BB21" s="501"/>
      <c r="BE21" s="501"/>
      <c r="BF21" s="221"/>
      <c r="BG21" s="515">
        <f t="shared" si="13"/>
        <v>0</v>
      </c>
      <c r="BH21" s="569"/>
      <c r="BI21" s="222"/>
      <c r="BJ21" s="55"/>
      <c r="BK21" s="65"/>
      <c r="BL21" s="69">
        <f t="shared" si="10"/>
        <v>0</v>
      </c>
      <c r="BM21" s="55">
        <f t="shared" si="10"/>
        <v>0</v>
      </c>
      <c r="BN21" s="55"/>
      <c r="BO21" s="55"/>
      <c r="BP21" s="55"/>
      <c r="BQ21" s="55"/>
      <c r="BR21" s="55"/>
      <c r="BS21" s="55"/>
      <c r="BT21" s="223"/>
      <c r="BU21" s="353"/>
      <c r="BV21" s="353"/>
      <c r="BW21" s="809"/>
    </row>
    <row r="22" spans="1:77" x14ac:dyDescent="0.25">
      <c r="A22" s="54" t="s">
        <v>23</v>
      </c>
      <c r="B22" s="446" t="s">
        <v>190</v>
      </c>
      <c r="C22" s="55">
        <v>0</v>
      </c>
      <c r="D22" s="55">
        <v>153776</v>
      </c>
      <c r="E22" s="55">
        <v>0</v>
      </c>
      <c r="F22" s="65">
        <v>36991</v>
      </c>
      <c r="G22" s="65"/>
      <c r="H22" s="65">
        <v>43900</v>
      </c>
      <c r="I22" s="65">
        <f t="shared" si="1"/>
        <v>47890.909090909088</v>
      </c>
      <c r="J22" s="55">
        <v>0</v>
      </c>
      <c r="K22" s="55">
        <v>0</v>
      </c>
      <c r="L22" s="65">
        <v>0</v>
      </c>
      <c r="M22" s="1">
        <f t="shared" si="2"/>
        <v>0</v>
      </c>
      <c r="N22" s="55"/>
      <c r="O22" s="55">
        <v>77861</v>
      </c>
      <c r="P22" s="55">
        <v>82697</v>
      </c>
      <c r="Q22" s="55"/>
      <c r="R22" s="55"/>
      <c r="S22" s="55">
        <v>98534</v>
      </c>
      <c r="T22" s="55"/>
      <c r="U22" s="69">
        <f t="shared" si="3"/>
        <v>0</v>
      </c>
      <c r="V22" s="69">
        <f t="shared" si="4"/>
        <v>0</v>
      </c>
      <c r="W22" s="122"/>
      <c r="Y22" s="207">
        <f t="shared" si="5"/>
        <v>0</v>
      </c>
      <c r="Z22" s="69">
        <f t="shared" si="6"/>
        <v>0</v>
      </c>
      <c r="AA22" s="55">
        <v>326816</v>
      </c>
      <c r="AB22" s="223">
        <v>351265</v>
      </c>
      <c r="AC22" s="55">
        <v>364234</v>
      </c>
      <c r="AG22" s="222">
        <v>371675</v>
      </c>
      <c r="AI22" s="258">
        <f t="shared" si="0"/>
        <v>0</v>
      </c>
      <c r="AJ22" s="230">
        <v>810000</v>
      </c>
      <c r="AK22" s="69">
        <f t="shared" si="7"/>
        <v>810000</v>
      </c>
      <c r="AM22" s="349">
        <v>382835</v>
      </c>
      <c r="AN22" s="349"/>
      <c r="AO22" s="354"/>
      <c r="AP22" s="65">
        <v>810000</v>
      </c>
      <c r="AQ22" s="222">
        <v>338117</v>
      </c>
      <c r="AR22" s="65">
        <f t="shared" si="8"/>
        <v>471883</v>
      </c>
      <c r="AS22" s="54">
        <f t="shared" si="12"/>
        <v>41.742839506172842</v>
      </c>
      <c r="AT22" s="55">
        <v>343432</v>
      </c>
      <c r="AU22" s="55">
        <f t="shared" si="14"/>
        <v>466568</v>
      </c>
      <c r="AV22" s="55">
        <f>(AU22/AP22*100)</f>
        <v>57.600987654320988</v>
      </c>
      <c r="AW22" s="367">
        <v>810000</v>
      </c>
      <c r="AX22" s="67">
        <v>810000</v>
      </c>
      <c r="AY22" s="69">
        <f t="shared" si="9"/>
        <v>810000</v>
      </c>
      <c r="AZ22" s="55">
        <f t="shared" ref="AZ22" si="15">AY22</f>
        <v>810000</v>
      </c>
      <c r="BA22" s="67">
        <f t="shared" ref="BA22" si="16">AZ22</f>
        <v>810000</v>
      </c>
      <c r="BB22" s="501">
        <v>810000</v>
      </c>
      <c r="BC22" s="501">
        <v>810000</v>
      </c>
      <c r="BD22" s="501">
        <v>272602</v>
      </c>
      <c r="BE22" s="501">
        <v>313367</v>
      </c>
      <c r="BF22" s="221">
        <v>321871</v>
      </c>
      <c r="BG22" s="515">
        <f t="shared" si="13"/>
        <v>386245.19999999995</v>
      </c>
      <c r="BH22" s="569">
        <v>560000</v>
      </c>
      <c r="BI22" s="222">
        <v>560000</v>
      </c>
      <c r="BJ22" s="55">
        <v>127757</v>
      </c>
      <c r="BK22" s="65">
        <v>377947</v>
      </c>
      <c r="BL22" s="69">
        <f t="shared" si="10"/>
        <v>453536.39999999997</v>
      </c>
      <c r="BM22" s="55">
        <f>BM18*0.18</f>
        <v>1440000</v>
      </c>
      <c r="BN22" s="55">
        <f>BN18*0.18</f>
        <v>1440000</v>
      </c>
      <c r="BO22" s="55">
        <v>490969</v>
      </c>
      <c r="BP22" s="55">
        <f t="shared" ref="BP22" si="17">BO22/10*12</f>
        <v>589162.80000000005</v>
      </c>
      <c r="BQ22" s="55">
        <f>589163*1.1</f>
        <v>648079.30000000005</v>
      </c>
      <c r="BR22" s="55">
        <v>990000</v>
      </c>
      <c r="BS22" s="55">
        <v>990000</v>
      </c>
      <c r="BT22" s="223">
        <f>BT18*0.27</f>
        <v>1755000</v>
      </c>
      <c r="BU22" s="353"/>
      <c r="BV22" s="353"/>
      <c r="BW22" s="809"/>
    </row>
    <row r="23" spans="1:77" x14ac:dyDescent="0.25">
      <c r="A23" s="54" t="s">
        <v>758</v>
      </c>
      <c r="B23" s="446"/>
      <c r="C23" s="55"/>
      <c r="D23" s="55"/>
      <c r="E23" s="55"/>
      <c r="F23" s="65"/>
      <c r="G23" s="65"/>
      <c r="H23" s="65"/>
      <c r="I23" s="65"/>
      <c r="J23" s="55"/>
      <c r="K23" s="55"/>
      <c r="L23" s="65"/>
      <c r="N23" s="55"/>
      <c r="O23" s="55"/>
      <c r="P23" s="55"/>
      <c r="Q23" s="55"/>
      <c r="R23" s="55"/>
      <c r="S23" s="55"/>
      <c r="T23" s="55"/>
      <c r="U23" s="69"/>
      <c r="V23" s="69"/>
      <c r="W23" s="122"/>
      <c r="Y23" s="207"/>
      <c r="Z23" s="69"/>
      <c r="AA23" s="55"/>
      <c r="AB23" s="223"/>
      <c r="AC23" s="55"/>
      <c r="AG23" s="222"/>
      <c r="AI23" s="258"/>
      <c r="AK23" s="69"/>
      <c r="AM23" s="349"/>
      <c r="AN23" s="349"/>
      <c r="AO23" s="354"/>
      <c r="AS23" s="54"/>
      <c r="AT23" s="55"/>
      <c r="AU23" s="55"/>
      <c r="AV23" s="55"/>
      <c r="AW23" s="367"/>
      <c r="AX23" s="67"/>
      <c r="AY23" s="69"/>
      <c r="AZ23" s="55"/>
      <c r="BA23" s="67"/>
      <c r="BB23" s="501"/>
      <c r="BE23" s="501"/>
      <c r="BF23" s="221"/>
      <c r="BG23" s="515"/>
      <c r="BH23" s="569"/>
      <c r="BI23" s="222"/>
      <c r="BJ23" s="55"/>
      <c r="BK23" s="65"/>
      <c r="BL23" s="69"/>
      <c r="BM23" s="55"/>
      <c r="BN23" s="55"/>
      <c r="BO23" s="55"/>
      <c r="BP23" s="55"/>
      <c r="BQ23" s="55"/>
      <c r="BR23" s="55"/>
      <c r="BS23" s="55"/>
      <c r="BT23" s="223"/>
      <c r="BU23" s="353"/>
      <c r="BV23" s="353"/>
      <c r="BW23" s="809"/>
    </row>
    <row r="24" spans="1:77" x14ac:dyDescent="0.25">
      <c r="A24" s="54" t="s">
        <v>24</v>
      </c>
      <c r="B24" s="58" t="s">
        <v>195</v>
      </c>
      <c r="C24" s="55">
        <v>0</v>
      </c>
      <c r="D24" s="55">
        <v>0</v>
      </c>
      <c r="E24" s="55">
        <v>0</v>
      </c>
      <c r="F24" s="65">
        <v>78038</v>
      </c>
      <c r="G24" s="65"/>
      <c r="H24" s="65">
        <f>78038+34</f>
        <v>78072</v>
      </c>
      <c r="I24" s="65">
        <f t="shared" si="1"/>
        <v>85169.454545454544</v>
      </c>
      <c r="J24" s="55"/>
      <c r="K24" s="55"/>
      <c r="L24" s="65"/>
      <c r="M24" s="1">
        <f t="shared" si="2"/>
        <v>0</v>
      </c>
      <c r="N24" s="55"/>
      <c r="O24" s="55">
        <v>1</v>
      </c>
      <c r="P24" s="55">
        <v>1</v>
      </c>
      <c r="Q24" s="55"/>
      <c r="R24" s="55"/>
      <c r="S24" s="55">
        <v>1</v>
      </c>
      <c r="T24" s="55"/>
      <c r="U24" s="69">
        <f t="shared" si="3"/>
        <v>0</v>
      </c>
      <c r="V24" s="69">
        <f t="shared" si="4"/>
        <v>0</v>
      </c>
      <c r="W24" s="122"/>
      <c r="Y24" s="207">
        <f t="shared" si="5"/>
        <v>0</v>
      </c>
      <c r="Z24" s="69">
        <f t="shared" si="6"/>
        <v>0</v>
      </c>
      <c r="AA24" s="55"/>
      <c r="AB24" s="223"/>
      <c r="AC24" s="55"/>
      <c r="AI24" s="258">
        <f t="shared" si="0"/>
        <v>0</v>
      </c>
      <c r="AK24" s="69">
        <f t="shared" si="7"/>
        <v>0</v>
      </c>
      <c r="AM24" s="349"/>
      <c r="AN24" s="349"/>
      <c r="AO24" s="354"/>
      <c r="AR24" s="65">
        <f t="shared" si="8"/>
        <v>0</v>
      </c>
      <c r="AS24" s="54"/>
      <c r="AT24" s="55"/>
      <c r="AU24" s="55">
        <f t="shared" si="14"/>
        <v>0</v>
      </c>
      <c r="AV24" s="55"/>
      <c r="AW24" s="367"/>
      <c r="AX24" s="67"/>
      <c r="AY24" s="69">
        <f t="shared" si="9"/>
        <v>0</v>
      </c>
      <c r="AZ24" s="55"/>
      <c r="BA24" s="67"/>
      <c r="BB24" s="501"/>
      <c r="BE24" s="501"/>
      <c r="BF24" s="221"/>
      <c r="BG24" s="515">
        <f t="shared" si="13"/>
        <v>0</v>
      </c>
      <c r="BH24" s="569"/>
      <c r="BI24" s="222"/>
      <c r="BJ24" s="55"/>
      <c r="BK24" s="65"/>
      <c r="BL24" s="69">
        <f t="shared" si="10"/>
        <v>0</v>
      </c>
      <c r="BM24" s="55">
        <f t="shared" si="10"/>
        <v>0</v>
      </c>
      <c r="BN24" s="55"/>
      <c r="BO24" s="55"/>
      <c r="BP24" s="55"/>
      <c r="BQ24" s="55"/>
      <c r="BR24" s="55"/>
      <c r="BS24" s="55"/>
      <c r="BT24" s="223"/>
      <c r="BU24" s="353"/>
      <c r="BV24" s="353"/>
      <c r="BW24" s="809"/>
    </row>
    <row r="25" spans="1:77" x14ac:dyDescent="0.25">
      <c r="A25" s="54" t="s">
        <v>25</v>
      </c>
      <c r="B25" s="446" t="s">
        <v>191</v>
      </c>
      <c r="C25" s="55">
        <v>0</v>
      </c>
      <c r="D25" s="55">
        <v>0</v>
      </c>
      <c r="E25" s="55">
        <v>0</v>
      </c>
      <c r="F25" s="65">
        <v>34</v>
      </c>
      <c r="G25" s="65"/>
      <c r="H25" s="65"/>
      <c r="I25" s="65">
        <f t="shared" si="1"/>
        <v>0</v>
      </c>
      <c r="J25" s="55">
        <v>0</v>
      </c>
      <c r="K25" s="55">
        <v>0</v>
      </c>
      <c r="L25" s="65">
        <v>0</v>
      </c>
      <c r="M25" s="1">
        <f t="shared" si="2"/>
        <v>0</v>
      </c>
      <c r="N25" s="55"/>
      <c r="O25" s="55"/>
      <c r="P25" s="55"/>
      <c r="Q25" s="55"/>
      <c r="R25" s="55"/>
      <c r="S25" s="55"/>
      <c r="T25" s="55"/>
      <c r="U25" s="69">
        <f t="shared" si="3"/>
        <v>0</v>
      </c>
      <c r="V25" s="69">
        <f t="shared" si="4"/>
        <v>0</v>
      </c>
      <c r="W25" s="122"/>
      <c r="Y25" s="207" t="e">
        <f t="shared" si="5"/>
        <v>#DIV/0!</v>
      </c>
      <c r="Z25" s="69">
        <f t="shared" si="6"/>
        <v>0</v>
      </c>
      <c r="AA25" s="55"/>
      <c r="AB25" s="223"/>
      <c r="AC25" s="55"/>
      <c r="AI25" s="258">
        <f t="shared" si="0"/>
        <v>0</v>
      </c>
      <c r="AK25" s="69">
        <f t="shared" si="7"/>
        <v>0</v>
      </c>
      <c r="AM25" s="349"/>
      <c r="AN25" s="349"/>
      <c r="AO25" s="354"/>
      <c r="AR25" s="65">
        <f t="shared" si="8"/>
        <v>0</v>
      </c>
      <c r="AS25" s="54"/>
      <c r="AT25" s="55"/>
      <c r="AU25" s="55">
        <f t="shared" si="14"/>
        <v>0</v>
      </c>
      <c r="AV25" s="55"/>
      <c r="AW25" s="367"/>
      <c r="AX25" s="67"/>
      <c r="AY25" s="69">
        <f t="shared" si="9"/>
        <v>0</v>
      </c>
      <c r="AZ25" s="55"/>
      <c r="BA25" s="67"/>
      <c r="BB25" s="501"/>
      <c r="BE25" s="501"/>
      <c r="BF25" s="221"/>
      <c r="BG25" s="515">
        <f t="shared" si="13"/>
        <v>0</v>
      </c>
      <c r="BH25" s="569"/>
      <c r="BI25" s="222"/>
      <c r="BJ25" s="55"/>
      <c r="BK25" s="65"/>
      <c r="BL25" s="69">
        <f t="shared" si="10"/>
        <v>0</v>
      </c>
      <c r="BM25" s="55">
        <f t="shared" si="10"/>
        <v>0</v>
      </c>
      <c r="BN25" s="55"/>
      <c r="BO25" s="55"/>
      <c r="BP25" s="55"/>
      <c r="BQ25" s="55"/>
      <c r="BR25" s="55"/>
      <c r="BS25" s="55"/>
      <c r="BT25" s="223"/>
      <c r="BU25" s="353"/>
      <c r="BV25" s="353"/>
      <c r="BW25" s="809"/>
    </row>
    <row r="26" spans="1:77" x14ac:dyDescent="0.25">
      <c r="A26" s="54" t="s">
        <v>326</v>
      </c>
      <c r="B26" s="446" t="s">
        <v>327</v>
      </c>
      <c r="C26" s="55"/>
      <c r="D26" s="55"/>
      <c r="E26" s="55"/>
      <c r="F26" s="65"/>
      <c r="G26" s="65"/>
      <c r="H26" s="65"/>
      <c r="I26" s="65"/>
      <c r="J26" s="55"/>
      <c r="K26" s="55"/>
      <c r="L26" s="65"/>
      <c r="N26" s="55"/>
      <c r="O26" s="55"/>
      <c r="P26" s="55">
        <v>5980</v>
      </c>
      <c r="Q26" s="55"/>
      <c r="R26" s="55"/>
      <c r="S26" s="55">
        <v>5980</v>
      </c>
      <c r="T26" s="55"/>
      <c r="U26" s="69">
        <f t="shared" si="3"/>
        <v>0</v>
      </c>
      <c r="V26" s="69">
        <f t="shared" si="4"/>
        <v>0</v>
      </c>
      <c r="W26" s="122"/>
      <c r="Y26" s="207">
        <f t="shared" si="5"/>
        <v>0</v>
      </c>
      <c r="Z26" s="69">
        <f t="shared" si="6"/>
        <v>0</v>
      </c>
      <c r="AA26" s="55"/>
      <c r="AB26" s="223"/>
      <c r="AC26" s="55"/>
      <c r="AI26" s="258">
        <f t="shared" si="0"/>
        <v>0</v>
      </c>
      <c r="AK26" s="69">
        <f t="shared" si="7"/>
        <v>0</v>
      </c>
      <c r="AM26" s="349"/>
      <c r="AN26" s="349"/>
      <c r="AO26" s="354"/>
      <c r="AR26" s="65">
        <f t="shared" si="8"/>
        <v>0</v>
      </c>
      <c r="AS26" s="54"/>
      <c r="AT26" s="55"/>
      <c r="AU26" s="55">
        <f t="shared" si="14"/>
        <v>0</v>
      </c>
      <c r="AV26" s="55"/>
      <c r="AW26" s="367"/>
      <c r="AX26" s="67"/>
      <c r="AY26" s="69">
        <f t="shared" si="9"/>
        <v>0</v>
      </c>
      <c r="AZ26" s="55"/>
      <c r="BA26" s="67"/>
      <c r="BB26" s="501">
        <v>0</v>
      </c>
      <c r="BE26" s="501">
        <v>2000000</v>
      </c>
      <c r="BF26" s="221">
        <v>2000000</v>
      </c>
      <c r="BG26" s="515">
        <v>2000000</v>
      </c>
      <c r="BH26" s="569">
        <v>0</v>
      </c>
      <c r="BI26" s="222"/>
      <c r="BJ26" s="55"/>
      <c r="BK26" s="65"/>
      <c r="BL26" s="69">
        <f t="shared" si="10"/>
        <v>0</v>
      </c>
      <c r="BM26" s="55">
        <f t="shared" si="10"/>
        <v>0</v>
      </c>
      <c r="BN26" s="55"/>
      <c r="BO26" s="55"/>
      <c r="BP26" s="55"/>
      <c r="BQ26" s="55"/>
      <c r="BR26" s="55"/>
      <c r="BS26" s="55"/>
      <c r="BT26" s="223"/>
      <c r="BU26" s="353"/>
      <c r="BV26" s="353"/>
      <c r="BW26" s="809"/>
    </row>
    <row r="27" spans="1:77" x14ac:dyDescent="0.25">
      <c r="A27" s="54" t="s">
        <v>247</v>
      </c>
      <c r="B27" s="446" t="s">
        <v>248</v>
      </c>
      <c r="C27" s="55"/>
      <c r="D27" s="55"/>
      <c r="E27" s="55"/>
      <c r="F27" s="65"/>
      <c r="G27" s="65"/>
      <c r="H27" s="65"/>
      <c r="I27" s="65">
        <f t="shared" si="1"/>
        <v>0</v>
      </c>
      <c r="J27" s="55"/>
      <c r="K27" s="55"/>
      <c r="L27" s="65"/>
      <c r="M27" s="1">
        <f t="shared" si="2"/>
        <v>0</v>
      </c>
      <c r="N27" s="55"/>
      <c r="O27" s="55"/>
      <c r="P27" s="55"/>
      <c r="Q27" s="55"/>
      <c r="R27" s="55"/>
      <c r="S27" s="55"/>
      <c r="T27" s="55"/>
      <c r="U27" s="69">
        <f t="shared" si="3"/>
        <v>0</v>
      </c>
      <c r="V27" s="69">
        <f t="shared" si="4"/>
        <v>0</v>
      </c>
      <c r="W27" s="122"/>
      <c r="Y27" s="207" t="e">
        <f t="shared" si="5"/>
        <v>#DIV/0!</v>
      </c>
      <c r="Z27" s="69">
        <f t="shared" si="6"/>
        <v>0</v>
      </c>
      <c r="AA27" s="55"/>
      <c r="AB27" s="223"/>
      <c r="AC27" s="55"/>
      <c r="AI27" s="258">
        <f t="shared" si="0"/>
        <v>0</v>
      </c>
      <c r="AK27" s="69">
        <f t="shared" si="7"/>
        <v>0</v>
      </c>
      <c r="AM27" s="349"/>
      <c r="AN27" s="349"/>
      <c r="AO27" s="354"/>
      <c r="AR27" s="65">
        <f t="shared" si="8"/>
        <v>0</v>
      </c>
      <c r="AS27" s="54"/>
      <c r="AT27" s="55"/>
      <c r="AU27" s="55">
        <f t="shared" si="14"/>
        <v>0</v>
      </c>
      <c r="AV27" s="55"/>
      <c r="AW27" s="367"/>
      <c r="AX27" s="67"/>
      <c r="AY27" s="69">
        <f t="shared" si="9"/>
        <v>0</v>
      </c>
      <c r="AZ27" s="55"/>
      <c r="BA27" s="67"/>
      <c r="BB27" s="501"/>
      <c r="BE27" s="501"/>
      <c r="BF27" s="221"/>
      <c r="BG27" s="515">
        <f t="shared" si="13"/>
        <v>0</v>
      </c>
      <c r="BH27" s="569"/>
      <c r="BI27" s="222"/>
      <c r="BJ27" s="55"/>
      <c r="BK27" s="65"/>
      <c r="BL27" s="69">
        <f t="shared" si="10"/>
        <v>0</v>
      </c>
      <c r="BM27" s="55">
        <f t="shared" si="10"/>
        <v>0</v>
      </c>
      <c r="BN27" s="55"/>
      <c r="BO27" s="55"/>
      <c r="BP27" s="55"/>
      <c r="BQ27" s="55"/>
      <c r="BR27" s="55"/>
      <c r="BS27" s="55"/>
      <c r="BT27" s="223"/>
      <c r="BU27" s="353"/>
      <c r="BV27" s="353"/>
      <c r="BW27" s="809"/>
    </row>
    <row r="28" spans="1:77" x14ac:dyDescent="0.25">
      <c r="A28" s="54" t="s">
        <v>249</v>
      </c>
      <c r="B28" s="446" t="s">
        <v>250</v>
      </c>
      <c r="C28" s="55"/>
      <c r="D28" s="55"/>
      <c r="E28" s="55"/>
      <c r="F28" s="65"/>
      <c r="G28" s="65"/>
      <c r="H28" s="65"/>
      <c r="I28" s="65">
        <f t="shared" si="1"/>
        <v>0</v>
      </c>
      <c r="J28" s="55"/>
      <c r="K28" s="55"/>
      <c r="L28" s="65"/>
      <c r="M28" s="1">
        <f t="shared" si="2"/>
        <v>0</v>
      </c>
      <c r="N28" s="55"/>
      <c r="O28" s="55"/>
      <c r="P28" s="55"/>
      <c r="Q28" s="55"/>
      <c r="R28" s="55"/>
      <c r="S28" s="55"/>
      <c r="T28" s="55"/>
      <c r="U28" s="69">
        <f t="shared" si="3"/>
        <v>0</v>
      </c>
      <c r="V28" s="69">
        <f t="shared" si="4"/>
        <v>0</v>
      </c>
      <c r="W28" s="122"/>
      <c r="Y28" s="207" t="e">
        <f t="shared" si="5"/>
        <v>#DIV/0!</v>
      </c>
      <c r="Z28" s="69">
        <f t="shared" si="6"/>
        <v>0</v>
      </c>
      <c r="AA28" s="55"/>
      <c r="AB28" s="223"/>
      <c r="AC28" s="55"/>
      <c r="AI28" s="258">
        <f t="shared" si="0"/>
        <v>0</v>
      </c>
      <c r="AK28" s="69">
        <f t="shared" si="7"/>
        <v>0</v>
      </c>
      <c r="AM28" s="349"/>
      <c r="AN28" s="349"/>
      <c r="AO28" s="354"/>
      <c r="AR28" s="65">
        <f t="shared" si="8"/>
        <v>0</v>
      </c>
      <c r="AS28" s="54"/>
      <c r="AT28" s="65"/>
      <c r="AU28" s="55">
        <f t="shared" si="14"/>
        <v>0</v>
      </c>
      <c r="AV28" s="55"/>
      <c r="AW28" s="367"/>
      <c r="AX28" s="424"/>
      <c r="AY28" s="69">
        <f t="shared" si="9"/>
        <v>0</v>
      </c>
      <c r="AZ28" s="65"/>
      <c r="BA28" s="424"/>
      <c r="BB28" s="501"/>
      <c r="BE28" s="501"/>
      <c r="BF28" s="221"/>
      <c r="BG28" s="515">
        <f t="shared" si="13"/>
        <v>0</v>
      </c>
      <c r="BH28" s="569"/>
      <c r="BI28" s="222"/>
      <c r="BJ28" s="55"/>
      <c r="BK28" s="65"/>
      <c r="BL28" s="69">
        <f t="shared" si="10"/>
        <v>0</v>
      </c>
      <c r="BM28" s="55">
        <f t="shared" si="10"/>
        <v>0</v>
      </c>
      <c r="BN28" s="55"/>
      <c r="BO28" s="55"/>
      <c r="BP28" s="55"/>
      <c r="BQ28" s="55"/>
      <c r="BR28" s="55"/>
      <c r="BS28" s="55"/>
      <c r="BT28" s="223"/>
      <c r="BU28" s="353"/>
      <c r="BV28" s="353"/>
      <c r="BW28" s="809"/>
    </row>
    <row r="29" spans="1:77" x14ac:dyDescent="0.25">
      <c r="A29" s="54" t="s">
        <v>251</v>
      </c>
      <c r="B29" s="446" t="s">
        <v>252</v>
      </c>
      <c r="C29" s="55"/>
      <c r="D29" s="55"/>
      <c r="E29" s="55"/>
      <c r="F29" s="65"/>
      <c r="G29" s="65"/>
      <c r="H29" s="65"/>
      <c r="I29" s="65">
        <f t="shared" si="1"/>
        <v>0</v>
      </c>
      <c r="J29" s="55"/>
      <c r="K29" s="55"/>
      <c r="L29" s="65"/>
      <c r="M29" s="1">
        <f t="shared" si="2"/>
        <v>0</v>
      </c>
      <c r="N29" s="55"/>
      <c r="O29" s="55"/>
      <c r="P29" s="55"/>
      <c r="Q29" s="55"/>
      <c r="R29" s="55"/>
      <c r="S29" s="55"/>
      <c r="T29" s="55"/>
      <c r="U29" s="69">
        <f t="shared" si="3"/>
        <v>0</v>
      </c>
      <c r="V29" s="69">
        <f t="shared" si="4"/>
        <v>0</v>
      </c>
      <c r="W29" s="122"/>
      <c r="Y29" s="207" t="e">
        <f t="shared" si="5"/>
        <v>#DIV/0!</v>
      </c>
      <c r="Z29" s="69">
        <f t="shared" si="6"/>
        <v>0</v>
      </c>
      <c r="AA29" s="55"/>
      <c r="AB29" s="223"/>
      <c r="AC29" s="55"/>
      <c r="AI29" s="258">
        <f t="shared" si="0"/>
        <v>0</v>
      </c>
      <c r="AK29" s="69">
        <f t="shared" si="7"/>
        <v>0</v>
      </c>
      <c r="AM29" s="349"/>
      <c r="AN29" s="349"/>
      <c r="AO29" s="354"/>
      <c r="AR29" s="65">
        <f t="shared" si="8"/>
        <v>0</v>
      </c>
      <c r="AS29" s="54"/>
      <c r="AT29" s="65"/>
      <c r="AU29" s="55">
        <f t="shared" si="14"/>
        <v>0</v>
      </c>
      <c r="AV29" s="55"/>
      <c r="AW29" s="367"/>
      <c r="AX29" s="424"/>
      <c r="AY29" s="69">
        <f t="shared" si="9"/>
        <v>0</v>
      </c>
      <c r="AZ29" s="65"/>
      <c r="BA29" s="424"/>
      <c r="BB29" s="501"/>
      <c r="BE29" s="501"/>
      <c r="BF29" s="221"/>
      <c r="BG29" s="515">
        <f t="shared" si="13"/>
        <v>0</v>
      </c>
      <c r="BH29" s="569"/>
      <c r="BI29" s="222"/>
      <c r="BJ29" s="55"/>
      <c r="BK29" s="65"/>
      <c r="BL29" s="69">
        <f t="shared" si="10"/>
        <v>0</v>
      </c>
      <c r="BM29" s="55">
        <f t="shared" si="10"/>
        <v>0</v>
      </c>
      <c r="BN29" s="55"/>
      <c r="BO29" s="55"/>
      <c r="BP29" s="55"/>
      <c r="BQ29" s="55"/>
      <c r="BR29" s="55"/>
      <c r="BS29" s="55"/>
      <c r="BT29" s="223"/>
      <c r="BU29" s="353"/>
      <c r="BV29" s="353"/>
      <c r="BW29" s="809"/>
    </row>
    <row r="30" spans="1:77" x14ac:dyDescent="0.25">
      <c r="A30" s="54" t="s">
        <v>235</v>
      </c>
      <c r="B30" s="446" t="s">
        <v>236</v>
      </c>
      <c r="C30" s="55">
        <v>0</v>
      </c>
      <c r="D30" s="55"/>
      <c r="E30" s="55"/>
      <c r="F30" s="65"/>
      <c r="G30" s="65">
        <v>1115040</v>
      </c>
      <c r="H30" s="65">
        <v>1115040</v>
      </c>
      <c r="I30" s="65">
        <f t="shared" si="1"/>
        <v>1216407.2727272727</v>
      </c>
      <c r="J30" s="55"/>
      <c r="K30" s="55"/>
      <c r="L30" s="65"/>
      <c r="M30" s="1">
        <f t="shared" si="2"/>
        <v>0</v>
      </c>
      <c r="N30" s="55"/>
      <c r="O30" s="55">
        <v>250000</v>
      </c>
      <c r="P30" s="55">
        <v>250000</v>
      </c>
      <c r="Q30" s="55"/>
      <c r="R30" s="55"/>
      <c r="S30" s="55">
        <v>250000</v>
      </c>
      <c r="T30" s="55"/>
      <c r="U30" s="69">
        <f t="shared" si="3"/>
        <v>0</v>
      </c>
      <c r="V30" s="69">
        <f t="shared" si="4"/>
        <v>0</v>
      </c>
      <c r="W30" s="122"/>
      <c r="Y30" s="207">
        <f t="shared" si="5"/>
        <v>0</v>
      </c>
      <c r="Z30" s="69">
        <f t="shared" si="6"/>
        <v>0</v>
      </c>
      <c r="AA30" s="55"/>
      <c r="AB30" s="223">
        <v>100000</v>
      </c>
      <c r="AC30" s="55">
        <v>100000</v>
      </c>
      <c r="AF30" s="55">
        <v>100000</v>
      </c>
      <c r="AG30" s="223">
        <v>100000</v>
      </c>
      <c r="AI30" s="258">
        <f t="shared" si="0"/>
        <v>0</v>
      </c>
      <c r="AJ30" s="230">
        <v>0</v>
      </c>
      <c r="AK30" s="69">
        <f t="shared" si="7"/>
        <v>0</v>
      </c>
      <c r="AM30" s="349">
        <v>100000</v>
      </c>
      <c r="AN30" s="349"/>
      <c r="AO30" s="354"/>
      <c r="AR30" s="65">
        <f t="shared" si="8"/>
        <v>0</v>
      </c>
      <c r="AS30" s="54"/>
      <c r="AT30" s="65"/>
      <c r="AU30" s="55">
        <f t="shared" si="14"/>
        <v>0</v>
      </c>
      <c r="AV30" s="55"/>
      <c r="AW30" s="367"/>
      <c r="AX30" s="424"/>
      <c r="AY30" s="69">
        <f t="shared" si="9"/>
        <v>0</v>
      </c>
      <c r="AZ30" s="65"/>
      <c r="BA30" s="424"/>
      <c r="BB30" s="501"/>
      <c r="BE30" s="501"/>
      <c r="BF30" s="221"/>
      <c r="BG30" s="515">
        <f t="shared" si="13"/>
        <v>0</v>
      </c>
      <c r="BH30" s="569"/>
      <c r="BI30" s="222"/>
      <c r="BJ30" s="55"/>
      <c r="BK30" s="65"/>
      <c r="BL30" s="69">
        <f t="shared" si="10"/>
        <v>0</v>
      </c>
      <c r="BM30" s="55">
        <f t="shared" si="10"/>
        <v>0</v>
      </c>
      <c r="BN30" s="55"/>
      <c r="BO30" s="55"/>
      <c r="BP30" s="55"/>
      <c r="BQ30" s="55"/>
      <c r="BR30" s="55"/>
      <c r="BS30" s="55"/>
      <c r="BT30" s="223"/>
      <c r="BU30" s="353"/>
      <c r="BV30" s="353"/>
      <c r="BW30" s="809"/>
    </row>
    <row r="31" spans="1:77" x14ac:dyDescent="0.25">
      <c r="A31" s="54" t="s">
        <v>26</v>
      </c>
      <c r="B31" s="58" t="s">
        <v>196</v>
      </c>
      <c r="C31" s="55">
        <v>0</v>
      </c>
      <c r="D31" s="55">
        <v>0</v>
      </c>
      <c r="E31" s="55">
        <v>0</v>
      </c>
      <c r="F31" s="65">
        <v>1115040</v>
      </c>
      <c r="G31" s="65"/>
      <c r="H31" s="65"/>
      <c r="I31" s="65">
        <f t="shared" si="1"/>
        <v>0</v>
      </c>
      <c r="J31" s="55"/>
      <c r="K31" s="55"/>
      <c r="L31" s="65"/>
      <c r="M31" s="1">
        <f t="shared" si="2"/>
        <v>0</v>
      </c>
      <c r="N31" s="55"/>
      <c r="O31" s="55"/>
      <c r="P31" s="55"/>
      <c r="Q31" s="55"/>
      <c r="R31" s="55"/>
      <c r="S31" s="55"/>
      <c r="T31" s="55"/>
      <c r="U31" s="69">
        <f t="shared" si="3"/>
        <v>0</v>
      </c>
      <c r="V31" s="69">
        <f t="shared" si="4"/>
        <v>0</v>
      </c>
      <c r="W31" s="122"/>
      <c r="Y31" s="207" t="e">
        <f t="shared" si="5"/>
        <v>#DIV/0!</v>
      </c>
      <c r="Z31" s="69">
        <f t="shared" si="6"/>
        <v>0</v>
      </c>
      <c r="AA31" s="55"/>
      <c r="AB31" s="223"/>
      <c r="AC31" s="55"/>
      <c r="AI31" s="258">
        <f t="shared" si="0"/>
        <v>0</v>
      </c>
      <c r="AK31" s="69">
        <f t="shared" si="7"/>
        <v>0</v>
      </c>
      <c r="AM31" s="349"/>
      <c r="AN31" s="349"/>
      <c r="AO31" s="354"/>
      <c r="AR31" s="65">
        <f t="shared" si="8"/>
        <v>0</v>
      </c>
      <c r="AS31" s="54"/>
      <c r="AT31" s="65"/>
      <c r="AU31" s="55">
        <f t="shared" si="14"/>
        <v>0</v>
      </c>
      <c r="AV31" s="55"/>
      <c r="AW31" s="367"/>
      <c r="AX31" s="424"/>
      <c r="AY31" s="69">
        <f t="shared" si="9"/>
        <v>0</v>
      </c>
      <c r="AZ31" s="65"/>
      <c r="BA31" s="424"/>
      <c r="BB31" s="501"/>
      <c r="BE31" s="501"/>
      <c r="BF31" s="221"/>
      <c r="BG31" s="515">
        <f t="shared" si="13"/>
        <v>0</v>
      </c>
      <c r="BH31" s="569"/>
      <c r="BI31" s="222"/>
      <c r="BJ31" s="55"/>
      <c r="BK31" s="65"/>
      <c r="BL31" s="69">
        <f t="shared" si="10"/>
        <v>0</v>
      </c>
      <c r="BM31" s="55">
        <f t="shared" si="10"/>
        <v>0</v>
      </c>
      <c r="BN31" s="55"/>
      <c r="BO31" s="55"/>
      <c r="BP31" s="55"/>
      <c r="BQ31" s="55"/>
      <c r="BR31" s="55"/>
      <c r="BS31" s="55"/>
      <c r="BT31" s="223"/>
      <c r="BU31" s="353"/>
      <c r="BV31" s="353"/>
      <c r="BW31" s="809"/>
    </row>
    <row r="32" spans="1:77" x14ac:dyDescent="0.25">
      <c r="A32" s="54" t="s">
        <v>241</v>
      </c>
      <c r="B32" s="58" t="s">
        <v>242</v>
      </c>
      <c r="C32" s="55"/>
      <c r="D32" s="55"/>
      <c r="E32" s="55"/>
      <c r="F32" s="65"/>
      <c r="G32" s="65"/>
      <c r="H32" s="65"/>
      <c r="I32" s="65">
        <f t="shared" si="1"/>
        <v>0</v>
      </c>
      <c r="J32" s="55"/>
      <c r="K32" s="55"/>
      <c r="L32" s="65"/>
      <c r="M32" s="1">
        <f t="shared" si="2"/>
        <v>0</v>
      </c>
      <c r="N32" s="55"/>
      <c r="O32" s="55"/>
      <c r="P32" s="55"/>
      <c r="Q32" s="55"/>
      <c r="R32" s="55"/>
      <c r="S32" s="55"/>
      <c r="T32" s="55"/>
      <c r="U32" s="69">
        <f t="shared" si="3"/>
        <v>0</v>
      </c>
      <c r="V32" s="69">
        <f t="shared" si="4"/>
        <v>0</v>
      </c>
      <c r="W32" s="122"/>
      <c r="Y32" s="207" t="e">
        <f t="shared" si="5"/>
        <v>#DIV/0!</v>
      </c>
      <c r="Z32" s="69">
        <f t="shared" si="6"/>
        <v>0</v>
      </c>
      <c r="AA32" s="55"/>
      <c r="AB32" s="223"/>
      <c r="AC32" s="55"/>
      <c r="AI32" s="258">
        <f t="shared" si="0"/>
        <v>0</v>
      </c>
      <c r="AK32" s="69">
        <f t="shared" si="7"/>
        <v>0</v>
      </c>
      <c r="AM32" s="349"/>
      <c r="AN32" s="349"/>
      <c r="AO32" s="354"/>
      <c r="AR32" s="65">
        <f t="shared" si="8"/>
        <v>0</v>
      </c>
      <c r="AS32" s="54"/>
      <c r="AT32" s="65"/>
      <c r="AU32" s="55">
        <f t="shared" si="14"/>
        <v>0</v>
      </c>
      <c r="AV32" s="55"/>
      <c r="AW32" s="367"/>
      <c r="AX32" s="424"/>
      <c r="AY32" s="69">
        <f t="shared" si="9"/>
        <v>0</v>
      </c>
      <c r="AZ32" s="65"/>
      <c r="BA32" s="424"/>
      <c r="BB32" s="501"/>
      <c r="BE32" s="501"/>
      <c r="BF32" s="221"/>
      <c r="BG32" s="515">
        <f t="shared" si="13"/>
        <v>0</v>
      </c>
      <c r="BH32" s="569"/>
      <c r="BI32" s="222"/>
      <c r="BJ32" s="55"/>
      <c r="BK32" s="65"/>
      <c r="BL32" s="69">
        <f t="shared" si="10"/>
        <v>0</v>
      </c>
      <c r="BM32" s="55">
        <f t="shared" si="10"/>
        <v>0</v>
      </c>
      <c r="BN32" s="55"/>
      <c r="BO32" s="55"/>
      <c r="BP32" s="55"/>
      <c r="BQ32" s="55"/>
      <c r="BR32" s="55"/>
      <c r="BS32" s="55"/>
      <c r="BT32" s="223"/>
      <c r="BU32" s="353"/>
      <c r="BV32" s="353"/>
      <c r="BW32" s="809"/>
    </row>
    <row r="33" spans="1:101" x14ac:dyDescent="0.25">
      <c r="A33" s="54" t="s">
        <v>253</v>
      </c>
      <c r="B33" s="58" t="s">
        <v>254</v>
      </c>
      <c r="C33" s="55"/>
      <c r="D33" s="55"/>
      <c r="E33" s="55"/>
      <c r="F33" s="65"/>
      <c r="G33" s="65"/>
      <c r="H33" s="65"/>
      <c r="I33" s="65">
        <f t="shared" si="1"/>
        <v>0</v>
      </c>
      <c r="J33" s="55"/>
      <c r="K33" s="55"/>
      <c r="L33" s="65"/>
      <c r="M33" s="1">
        <f t="shared" si="2"/>
        <v>0</v>
      </c>
      <c r="N33" s="55"/>
      <c r="O33" s="55"/>
      <c r="P33" s="55"/>
      <c r="Q33" s="55"/>
      <c r="R33" s="55"/>
      <c r="S33" s="55"/>
      <c r="T33" s="55"/>
      <c r="U33" s="69">
        <f t="shared" si="3"/>
        <v>0</v>
      </c>
      <c r="V33" s="69">
        <f t="shared" si="4"/>
        <v>0</v>
      </c>
      <c r="W33" s="122"/>
      <c r="Y33" s="207" t="e">
        <f t="shared" si="5"/>
        <v>#DIV/0!</v>
      </c>
      <c r="Z33" s="69">
        <f t="shared" si="6"/>
        <v>0</v>
      </c>
      <c r="AA33" s="55"/>
      <c r="AB33" s="223"/>
      <c r="AC33" s="55"/>
      <c r="AI33" s="258">
        <f t="shared" si="0"/>
        <v>0</v>
      </c>
      <c r="AK33" s="69">
        <f t="shared" si="7"/>
        <v>0</v>
      </c>
      <c r="AM33" s="349"/>
      <c r="AN33" s="349"/>
      <c r="AO33" s="354"/>
      <c r="AR33" s="65">
        <f t="shared" si="8"/>
        <v>0</v>
      </c>
      <c r="AS33" s="54"/>
      <c r="AT33" s="65"/>
      <c r="AU33" s="55">
        <f t="shared" si="14"/>
        <v>0</v>
      </c>
      <c r="AV33" s="55"/>
      <c r="AW33" s="367"/>
      <c r="AX33" s="424"/>
      <c r="AY33" s="69">
        <f t="shared" si="9"/>
        <v>0</v>
      </c>
      <c r="AZ33" s="65"/>
      <c r="BA33" s="424"/>
      <c r="BB33" s="501"/>
      <c r="BE33" s="501"/>
      <c r="BF33" s="221"/>
      <c r="BG33" s="515">
        <f t="shared" si="13"/>
        <v>0</v>
      </c>
      <c r="BH33" s="569"/>
      <c r="BI33" s="222"/>
      <c r="BJ33" s="55"/>
      <c r="BK33" s="65"/>
      <c r="BL33" s="69">
        <f t="shared" si="10"/>
        <v>0</v>
      </c>
      <c r="BM33" s="55">
        <f t="shared" si="10"/>
        <v>0</v>
      </c>
      <c r="BN33" s="55"/>
      <c r="BO33" s="55"/>
      <c r="BP33" s="55"/>
      <c r="BQ33" s="55"/>
      <c r="BR33" s="55"/>
      <c r="BS33" s="55"/>
      <c r="BT33" s="223"/>
      <c r="BU33" s="353"/>
      <c r="BV33" s="353"/>
      <c r="BW33" s="809"/>
    </row>
    <row r="34" spans="1:101" x14ac:dyDescent="0.25">
      <c r="A34" s="54" t="s">
        <v>663</v>
      </c>
      <c r="B34" s="58" t="s">
        <v>664</v>
      </c>
      <c r="C34" s="55"/>
      <c r="D34" s="55"/>
      <c r="E34" s="55"/>
      <c r="F34" s="65"/>
      <c r="G34" s="65"/>
      <c r="H34" s="65"/>
      <c r="I34" s="65"/>
      <c r="J34" s="55"/>
      <c r="K34" s="55"/>
      <c r="L34" s="65"/>
      <c r="N34" s="55"/>
      <c r="O34" s="55"/>
      <c r="P34" s="55"/>
      <c r="Q34" s="55"/>
      <c r="R34" s="55"/>
      <c r="S34" s="55"/>
      <c r="T34" s="55"/>
      <c r="U34" s="69"/>
      <c r="V34" s="69"/>
      <c r="W34" s="122"/>
      <c r="Y34" s="207"/>
      <c r="Z34" s="69"/>
      <c r="AA34" s="55"/>
      <c r="AB34" s="223"/>
      <c r="AC34" s="55"/>
      <c r="AI34" s="258"/>
      <c r="AK34" s="69"/>
      <c r="AM34" s="349"/>
      <c r="AN34" s="349"/>
      <c r="AO34" s="354"/>
      <c r="AS34" s="54"/>
      <c r="AT34" s="65"/>
      <c r="AU34" s="55"/>
      <c r="AV34" s="55"/>
      <c r="AW34" s="367"/>
      <c r="AX34" s="424"/>
      <c r="AY34" s="69"/>
      <c r="AZ34" s="65"/>
      <c r="BA34" s="424"/>
      <c r="BB34" s="501"/>
      <c r="BE34" s="501"/>
      <c r="BF34" s="221"/>
      <c r="BG34" s="515"/>
      <c r="BH34" s="569"/>
      <c r="BI34" s="222"/>
      <c r="BJ34" s="55"/>
      <c r="BK34" s="65"/>
      <c r="BL34" s="69"/>
      <c r="BM34" s="55"/>
      <c r="BN34" s="55"/>
      <c r="BO34" s="55"/>
      <c r="BP34" s="55"/>
      <c r="BQ34" s="55"/>
      <c r="BR34" s="55"/>
      <c r="BS34" s="55"/>
      <c r="BT34" s="223"/>
      <c r="BU34" s="353"/>
      <c r="BV34" s="353"/>
      <c r="BW34" s="809"/>
    </row>
    <row r="35" spans="1:101" x14ac:dyDescent="0.25">
      <c r="A35" s="54" t="s">
        <v>27</v>
      </c>
      <c r="B35" s="446" t="s">
        <v>192</v>
      </c>
      <c r="C35" s="55">
        <v>0</v>
      </c>
      <c r="D35" s="55">
        <v>975000</v>
      </c>
      <c r="E35" s="55">
        <v>0</v>
      </c>
      <c r="F35" s="65">
        <v>329977</v>
      </c>
      <c r="G35" s="65">
        <v>329977</v>
      </c>
      <c r="H35" s="65">
        <v>329977</v>
      </c>
      <c r="I35" s="65">
        <f t="shared" si="1"/>
        <v>359974.90909090912</v>
      </c>
      <c r="J35" s="55">
        <v>0</v>
      </c>
      <c r="K35" s="55">
        <v>0</v>
      </c>
      <c r="L35" s="65">
        <v>0</v>
      </c>
      <c r="M35" s="1">
        <f t="shared" si="2"/>
        <v>0</v>
      </c>
      <c r="N35" s="55">
        <v>1519687</v>
      </c>
      <c r="O35" s="55">
        <v>1519687</v>
      </c>
      <c r="P35" s="55">
        <v>1519687</v>
      </c>
      <c r="Q35" s="55"/>
      <c r="R35" s="55">
        <v>1519687</v>
      </c>
      <c r="S35" s="55">
        <v>1519687</v>
      </c>
      <c r="T35" s="55"/>
      <c r="U35" s="69">
        <f t="shared" si="3"/>
        <v>0</v>
      </c>
      <c r="V35" s="69">
        <f t="shared" si="4"/>
        <v>0</v>
      </c>
      <c r="W35" s="122"/>
      <c r="Y35" s="207">
        <f t="shared" si="5"/>
        <v>0</v>
      </c>
      <c r="Z35" s="69">
        <f t="shared" si="6"/>
        <v>0</v>
      </c>
      <c r="AA35" s="55">
        <v>1551281</v>
      </c>
      <c r="AB35" s="223">
        <v>1551281</v>
      </c>
      <c r="AC35" s="55">
        <v>1551281</v>
      </c>
      <c r="AI35" s="258">
        <f t="shared" si="0"/>
        <v>0</v>
      </c>
      <c r="AK35" s="69">
        <f t="shared" si="7"/>
        <v>0</v>
      </c>
      <c r="AM35" s="349">
        <v>1551281</v>
      </c>
      <c r="AN35" s="349"/>
      <c r="AO35" s="354"/>
      <c r="AP35" s="65">
        <v>60947</v>
      </c>
      <c r="AQ35" s="222">
        <v>60947</v>
      </c>
      <c r="AR35" s="65">
        <f t="shared" si="8"/>
        <v>0</v>
      </c>
      <c r="AS35" s="54">
        <f t="shared" si="12"/>
        <v>100</v>
      </c>
      <c r="AT35" s="65">
        <v>60947</v>
      </c>
      <c r="AU35" s="55">
        <f t="shared" si="14"/>
        <v>0</v>
      </c>
      <c r="AV35" s="55">
        <f>(AU35/AP35*100)</f>
        <v>0</v>
      </c>
      <c r="AW35" s="367"/>
      <c r="AX35" s="424"/>
      <c r="AY35" s="69">
        <f t="shared" si="9"/>
        <v>0</v>
      </c>
      <c r="AZ35" s="65">
        <v>215508</v>
      </c>
      <c r="BA35" s="424"/>
      <c r="BB35" s="501">
        <v>215508</v>
      </c>
      <c r="BC35" s="501">
        <v>485956</v>
      </c>
      <c r="BD35" s="501">
        <v>485956</v>
      </c>
      <c r="BE35" s="501">
        <v>485956</v>
      </c>
      <c r="BF35" s="221">
        <v>485956</v>
      </c>
      <c r="BG35" s="515">
        <f t="shared" si="13"/>
        <v>583147.19999999995</v>
      </c>
      <c r="BH35" s="569">
        <v>68418</v>
      </c>
      <c r="BI35" s="222">
        <v>2089213</v>
      </c>
      <c r="BJ35" s="55">
        <v>2089213</v>
      </c>
      <c r="BK35" s="65">
        <v>2089213</v>
      </c>
      <c r="BL35" s="69"/>
      <c r="BM35" s="55">
        <v>808039</v>
      </c>
      <c r="BN35" s="55">
        <v>808039</v>
      </c>
      <c r="BO35" s="55">
        <f>3618426+1209638</f>
        <v>4828064</v>
      </c>
      <c r="BP35" s="55">
        <v>4828064</v>
      </c>
      <c r="BQ35" s="55">
        <v>1209638</v>
      </c>
      <c r="BR35" s="65">
        <v>1209638</v>
      </c>
      <c r="BS35" s="65">
        <v>1209638</v>
      </c>
      <c r="BT35" s="245">
        <v>4482101</v>
      </c>
      <c r="BU35" s="798">
        <v>3099757</v>
      </c>
      <c r="BV35" s="807"/>
      <c r="BW35" s="809"/>
    </row>
    <row r="36" spans="1:101" x14ac:dyDescent="0.25">
      <c r="A36" s="54">
        <v>814</v>
      </c>
      <c r="B36" s="446" t="s">
        <v>442</v>
      </c>
      <c r="C36" s="55"/>
      <c r="D36" s="55"/>
      <c r="E36" s="55"/>
      <c r="F36" s="65"/>
      <c r="G36" s="65"/>
      <c r="H36" s="65"/>
      <c r="I36" s="65"/>
      <c r="J36" s="55"/>
      <c r="K36" s="55"/>
      <c r="L36" s="65"/>
      <c r="N36" s="55"/>
      <c r="O36" s="55"/>
      <c r="P36" s="55"/>
      <c r="Q36" s="55"/>
      <c r="R36" s="55"/>
      <c r="S36" s="55"/>
      <c r="T36" s="55"/>
      <c r="U36" s="69"/>
      <c r="V36" s="69"/>
      <c r="W36" s="122"/>
      <c r="Y36" s="207"/>
      <c r="Z36" s="69"/>
      <c r="AA36" s="55"/>
      <c r="AB36" s="223"/>
      <c r="AC36" s="55"/>
      <c r="AI36" s="258">
        <f t="shared" si="0"/>
        <v>0</v>
      </c>
      <c r="AK36" s="69">
        <f t="shared" si="7"/>
        <v>0</v>
      </c>
      <c r="AM36" s="349"/>
      <c r="AN36" s="349"/>
      <c r="AO36" s="354"/>
      <c r="AR36" s="65">
        <f t="shared" si="8"/>
        <v>0</v>
      </c>
      <c r="AS36" s="54"/>
      <c r="AT36" s="65"/>
      <c r="AU36" s="55">
        <f t="shared" si="14"/>
        <v>0</v>
      </c>
      <c r="AV36" s="55"/>
      <c r="AW36" s="367"/>
      <c r="AX36" s="424"/>
      <c r="AY36" s="69">
        <f t="shared" si="9"/>
        <v>0</v>
      </c>
      <c r="AZ36" s="65"/>
      <c r="BA36" s="424"/>
      <c r="BB36" s="501"/>
      <c r="BE36" s="501"/>
      <c r="BF36" s="221"/>
      <c r="BG36" s="515">
        <f t="shared" si="13"/>
        <v>0</v>
      </c>
      <c r="BH36" s="569"/>
      <c r="BI36" s="222"/>
      <c r="BJ36" s="55"/>
      <c r="BK36" s="65"/>
      <c r="BL36" s="69">
        <f t="shared" si="10"/>
        <v>0</v>
      </c>
      <c r="BM36" s="55">
        <f t="shared" si="10"/>
        <v>0</v>
      </c>
      <c r="BN36" s="55"/>
      <c r="BO36" s="55"/>
      <c r="BP36" s="55"/>
      <c r="BQ36" s="55"/>
      <c r="BR36" s="55"/>
      <c r="BS36" s="55"/>
      <c r="BT36" s="223"/>
      <c r="BU36" s="353"/>
      <c r="BV36" s="353"/>
      <c r="BW36" s="809"/>
    </row>
    <row r="37" spans="1:101" x14ac:dyDescent="0.25">
      <c r="A37" s="54" t="s">
        <v>28</v>
      </c>
      <c r="B37" s="58" t="s">
        <v>197</v>
      </c>
      <c r="C37" s="55">
        <v>27664144</v>
      </c>
      <c r="D37" s="55">
        <v>26491625</v>
      </c>
      <c r="E37" s="55">
        <v>31333686</v>
      </c>
      <c r="F37" s="65">
        <v>27317668</v>
      </c>
      <c r="G37" s="65">
        <v>31733686</v>
      </c>
      <c r="H37" s="65">
        <v>28815848</v>
      </c>
      <c r="I37" s="65">
        <f t="shared" si="1"/>
        <v>31435470.545454547</v>
      </c>
      <c r="J37" s="55">
        <v>38310267</v>
      </c>
      <c r="K37" s="55">
        <v>37175367.420000002</v>
      </c>
      <c r="L37" s="65" t="e">
        <f>L104-L18</f>
        <v>#REF!</v>
      </c>
      <c r="M37" s="1" t="e">
        <f t="shared" si="2"/>
        <v>#REF!</v>
      </c>
      <c r="N37" s="55">
        <v>47975367</v>
      </c>
      <c r="O37" s="55">
        <v>36849237</v>
      </c>
      <c r="P37" s="55">
        <v>41395673</v>
      </c>
      <c r="Q37" s="55">
        <f>Q104-Q18</f>
        <v>65618517</v>
      </c>
      <c r="R37" s="55">
        <v>48645367</v>
      </c>
      <c r="S37" s="55">
        <v>47804449</v>
      </c>
      <c r="T37" s="55">
        <f>T104-T18</f>
        <v>65926279</v>
      </c>
      <c r="U37" s="69">
        <f>U104-U18</f>
        <v>51434279</v>
      </c>
      <c r="V37" s="69">
        <f>V104-V18</f>
        <v>51334279</v>
      </c>
      <c r="W37" s="122">
        <f t="shared" si="11"/>
        <v>0.92942780436370076</v>
      </c>
      <c r="Y37" s="207">
        <f t="shared" si="5"/>
        <v>1.0738389433167612</v>
      </c>
      <c r="Z37" s="69">
        <f>Z104-Z18</f>
        <v>50935319</v>
      </c>
      <c r="AA37" s="55">
        <v>21640714</v>
      </c>
      <c r="AB37" s="223">
        <v>32255234</v>
      </c>
      <c r="AC37" s="55">
        <v>40884262</v>
      </c>
      <c r="AD37" s="122">
        <f>AC37/Z37*100</f>
        <v>80.267018647708881</v>
      </c>
      <c r="AE37" s="122"/>
      <c r="AF37" s="55">
        <v>54300439</v>
      </c>
      <c r="AG37" s="223">
        <v>45623653</v>
      </c>
      <c r="AH37" s="69">
        <f t="shared" ref="AH37:AH38" si="18">AG37/11*12</f>
        <v>49771257.81818182</v>
      </c>
      <c r="AI37" s="258">
        <f t="shared" si="0"/>
        <v>50766682.974545456</v>
      </c>
      <c r="AJ37" s="230">
        <v>60152761.200000003</v>
      </c>
      <c r="AK37" s="69">
        <f>AK104-AK22-AK18</f>
        <v>54101110.560000002</v>
      </c>
      <c r="AM37" s="349">
        <v>52112582</v>
      </c>
      <c r="AN37" s="349">
        <v>44101110</v>
      </c>
      <c r="AO37" s="354">
        <v>16513210</v>
      </c>
      <c r="AP37" s="65">
        <v>44040163</v>
      </c>
      <c r="AQ37" s="222">
        <v>28489674</v>
      </c>
      <c r="AR37" s="65">
        <f t="shared" si="8"/>
        <v>15550489</v>
      </c>
      <c r="AS37" s="54">
        <f t="shared" si="12"/>
        <v>64.690210161120433</v>
      </c>
      <c r="AT37" s="65">
        <v>31714458</v>
      </c>
      <c r="AU37" s="55">
        <f t="shared" si="14"/>
        <v>12325705</v>
      </c>
      <c r="AV37" s="55">
        <f>(AU37/AP37*100)</f>
        <v>27.987419120133595</v>
      </c>
      <c r="AW37" s="367">
        <v>54101110</v>
      </c>
      <c r="AX37" s="424">
        <f>AX104-AX18-AX22</f>
        <v>51177540.880000003</v>
      </c>
      <c r="AY37" s="424">
        <f t="shared" ref="AY37:BA37" si="19">AY104-AY18-AY22</f>
        <v>49677541.120000005</v>
      </c>
      <c r="AZ37" s="424">
        <f>AZ104-AZ18-AZ22-AZ35</f>
        <v>46962033</v>
      </c>
      <c r="BA37" s="424">
        <f t="shared" si="19"/>
        <v>47887688</v>
      </c>
      <c r="BB37" s="501">
        <v>46962033</v>
      </c>
      <c r="BC37" s="501">
        <v>46962033</v>
      </c>
      <c r="BD37" s="501">
        <v>20071225</v>
      </c>
      <c r="BE37" s="501">
        <v>30315873</v>
      </c>
      <c r="BF37" s="221">
        <v>32795040</v>
      </c>
      <c r="BG37" s="515">
        <f t="shared" si="13"/>
        <v>39354048</v>
      </c>
      <c r="BH37" s="569">
        <v>55947160</v>
      </c>
      <c r="BI37" s="222">
        <v>54118957</v>
      </c>
      <c r="BJ37" s="55">
        <v>15985271</v>
      </c>
      <c r="BK37" s="65">
        <v>29065160</v>
      </c>
      <c r="BL37" s="69">
        <v>36709448</v>
      </c>
      <c r="BM37" s="55">
        <v>52680202</v>
      </c>
      <c r="BN37" s="55">
        <v>52680202</v>
      </c>
      <c r="BO37" s="55">
        <v>29340643</v>
      </c>
      <c r="BP37" s="55">
        <v>39290232</v>
      </c>
      <c r="BQ37" s="55">
        <v>48079355</v>
      </c>
      <c r="BR37" s="55">
        <v>66501830</v>
      </c>
      <c r="BS37" s="55">
        <v>66501830</v>
      </c>
      <c r="BT37" s="245">
        <f>63004367-7515000</f>
        <v>55489367</v>
      </c>
      <c r="BU37" s="729">
        <v>74485873</v>
      </c>
      <c r="BV37" s="807">
        <v>84583499</v>
      </c>
      <c r="BW37" s="809"/>
    </row>
    <row r="38" spans="1:101" x14ac:dyDescent="0.25">
      <c r="A38" s="54" t="s">
        <v>29</v>
      </c>
      <c r="B38" s="446"/>
      <c r="C38" s="55">
        <v>0</v>
      </c>
      <c r="D38" s="55">
        <v>0</v>
      </c>
      <c r="E38" s="55">
        <v>0</v>
      </c>
      <c r="F38" s="65"/>
      <c r="G38" s="65"/>
      <c r="H38" s="65"/>
      <c r="I38" s="65">
        <f t="shared" si="1"/>
        <v>0</v>
      </c>
      <c r="J38" s="55"/>
      <c r="K38" s="55"/>
      <c r="L38" s="65"/>
      <c r="M38" s="1">
        <f t="shared" si="2"/>
        <v>0</v>
      </c>
      <c r="N38" s="55"/>
      <c r="O38" s="55"/>
      <c r="P38" s="55"/>
      <c r="Q38" s="55"/>
      <c r="R38" s="55"/>
      <c r="S38" s="55"/>
      <c r="T38" s="55"/>
      <c r="U38" s="69">
        <f t="shared" si="3"/>
        <v>0</v>
      </c>
      <c r="V38" s="69">
        <f t="shared" si="4"/>
        <v>0</v>
      </c>
      <c r="W38" s="122"/>
      <c r="Y38" s="207" t="e">
        <f t="shared" si="5"/>
        <v>#DIV/0!</v>
      </c>
      <c r="Z38" s="69">
        <f t="shared" si="6"/>
        <v>0</v>
      </c>
      <c r="AA38" s="55"/>
      <c r="AB38" s="223"/>
      <c r="AC38" s="55"/>
      <c r="AD38" s="122"/>
      <c r="AE38" s="122"/>
      <c r="AH38" s="69">
        <f t="shared" si="18"/>
        <v>0</v>
      </c>
      <c r="AI38" s="258">
        <f t="shared" si="0"/>
        <v>0</v>
      </c>
      <c r="AK38" s="69">
        <f t="shared" si="7"/>
        <v>0</v>
      </c>
      <c r="AM38" s="349"/>
      <c r="AN38" s="349"/>
      <c r="AO38" s="354"/>
      <c r="AR38" s="65">
        <f t="shared" si="8"/>
        <v>0</v>
      </c>
      <c r="AS38" s="54"/>
      <c r="AT38" s="65"/>
      <c r="AU38" s="55">
        <f t="shared" si="14"/>
        <v>0</v>
      </c>
      <c r="AV38" s="55"/>
      <c r="AW38" s="367"/>
      <c r="AX38" s="424"/>
      <c r="AY38" s="69">
        <f t="shared" si="9"/>
        <v>0</v>
      </c>
      <c r="AZ38" s="65"/>
      <c r="BA38" s="424"/>
      <c r="BB38" s="501"/>
      <c r="BE38" s="501"/>
      <c r="BF38" s="221"/>
      <c r="BG38" s="515">
        <f t="shared" si="13"/>
        <v>0</v>
      </c>
      <c r="BH38" s="569"/>
      <c r="BI38" s="222"/>
      <c r="BJ38" s="55"/>
      <c r="BK38" s="65"/>
      <c r="BL38" s="69">
        <f t="shared" si="10"/>
        <v>0</v>
      </c>
      <c r="BM38" s="55"/>
      <c r="BN38" s="55"/>
      <c r="BO38" s="55"/>
      <c r="BP38" s="55"/>
      <c r="BQ38" s="55"/>
      <c r="BR38" s="55"/>
      <c r="BS38" s="55"/>
      <c r="BT38" s="223"/>
      <c r="BU38" s="353"/>
      <c r="BV38" s="353"/>
      <c r="BW38" s="809"/>
    </row>
    <row r="39" spans="1:101" s="39" customFormat="1" x14ac:dyDescent="0.25">
      <c r="A39" s="54" t="s">
        <v>30</v>
      </c>
      <c r="B39" s="447" t="s">
        <v>140</v>
      </c>
      <c r="C39" s="60">
        <v>8297000</v>
      </c>
      <c r="D39" s="60">
        <v>8605265</v>
      </c>
      <c r="E39" s="60">
        <v>11249540</v>
      </c>
      <c r="F39" s="60">
        <f>8665019+421846+113733</f>
        <v>9200598</v>
      </c>
      <c r="G39" s="60">
        <v>10192225</v>
      </c>
      <c r="H39" s="60">
        <v>9657109</v>
      </c>
      <c r="I39" s="60">
        <v>10544931</v>
      </c>
      <c r="J39" s="60">
        <v>13057872</v>
      </c>
      <c r="K39" s="60">
        <v>13057872</v>
      </c>
      <c r="L39" s="60" t="e">
        <f>13057872-#REF!+#REF!</f>
        <v>#REF!</v>
      </c>
      <c r="M39" s="38" t="e">
        <f t="shared" si="2"/>
        <v>#REF!</v>
      </c>
      <c r="N39" s="60">
        <v>12457872</v>
      </c>
      <c r="O39" s="60">
        <v>9165164</v>
      </c>
      <c r="P39" s="60">
        <v>10263339</v>
      </c>
      <c r="Q39" s="60">
        <v>13057872</v>
      </c>
      <c r="R39" s="60">
        <v>12537964</v>
      </c>
      <c r="S39" s="60">
        <v>12537964</v>
      </c>
      <c r="T39" s="60">
        <f>14467728-T40-T48</f>
        <v>13667728</v>
      </c>
      <c r="U39" s="124">
        <f t="shared" si="3"/>
        <v>13667728</v>
      </c>
      <c r="V39" s="124">
        <f t="shared" si="4"/>
        <v>13667728</v>
      </c>
      <c r="W39" s="123">
        <f t="shared" si="11"/>
        <v>0.91734076065897707</v>
      </c>
      <c r="Y39" s="273">
        <f>V39/S39</f>
        <v>1.0901074528527916</v>
      </c>
      <c r="Z39" s="124">
        <f t="shared" si="6"/>
        <v>13667728</v>
      </c>
      <c r="AA39" s="60">
        <v>7188261</v>
      </c>
      <c r="AB39" s="217">
        <v>9618298</v>
      </c>
      <c r="AC39" s="60">
        <v>10830403</v>
      </c>
      <c r="AD39" s="123">
        <f t="shared" ref="AD39:AD76" si="20">AC39/Z39*100</f>
        <v>79.240697502906116</v>
      </c>
      <c r="AE39" s="123"/>
      <c r="AF39" s="60">
        <v>12940455</v>
      </c>
      <c r="AG39" s="217">
        <v>12105292</v>
      </c>
      <c r="AH39" s="124">
        <f>AG39/10*12</f>
        <v>14526350.399999999</v>
      </c>
      <c r="AI39" s="260">
        <f t="shared" si="0"/>
        <v>14816877.407999998</v>
      </c>
      <c r="AJ39" s="60">
        <f>Z39*1.08+610000</f>
        <v>15371146.24</v>
      </c>
      <c r="AK39" s="124">
        <f>AJ39</f>
        <v>15371146.24</v>
      </c>
      <c r="AM39" s="350">
        <v>14582939</v>
      </c>
      <c r="AN39" s="350">
        <v>15371146</v>
      </c>
      <c r="AO39" s="356">
        <v>8225682</v>
      </c>
      <c r="AP39" s="60">
        <v>14971146</v>
      </c>
      <c r="AQ39" s="217">
        <v>12463732</v>
      </c>
      <c r="AR39" s="60">
        <f t="shared" si="8"/>
        <v>2507414</v>
      </c>
      <c r="AS39" s="59">
        <f t="shared" si="12"/>
        <v>83.251689616813579</v>
      </c>
      <c r="AT39" s="60">
        <v>13869853</v>
      </c>
      <c r="AU39" s="60">
        <f t="shared" si="14"/>
        <v>1101293</v>
      </c>
      <c r="AV39" s="60">
        <f>(AU39/AP39*100)</f>
        <v>7.3561035340915115</v>
      </c>
      <c r="AW39" s="356">
        <v>15371146</v>
      </c>
      <c r="AX39" s="443">
        <f>AW39*1.08</f>
        <v>16600837.680000002</v>
      </c>
      <c r="AY39" s="124">
        <f>AX39</f>
        <v>16600837.680000002</v>
      </c>
      <c r="AZ39" s="464">
        <v>15985992</v>
      </c>
      <c r="BA39" s="465">
        <v>16600838</v>
      </c>
      <c r="BB39" s="60">
        <v>15985992</v>
      </c>
      <c r="BC39" s="60">
        <v>14959004</v>
      </c>
      <c r="BD39" s="60">
        <v>7209094</v>
      </c>
      <c r="BE39" s="60">
        <v>9282492</v>
      </c>
      <c r="BF39" s="60">
        <v>10345615</v>
      </c>
      <c r="BG39" s="329">
        <f>BF39/11*12</f>
        <v>11286125.454545455</v>
      </c>
      <c r="BH39" s="217">
        <f>18833978-2000000</f>
        <v>16833978</v>
      </c>
      <c r="BI39" s="217">
        <v>16783978</v>
      </c>
      <c r="BJ39" s="60">
        <v>8403064</v>
      </c>
      <c r="BK39" s="60">
        <v>14224966</v>
      </c>
      <c r="BL39" s="60">
        <v>16783978</v>
      </c>
      <c r="BM39" s="60">
        <f>BL39*1.16+1350000</f>
        <v>20819414.48</v>
      </c>
      <c r="BN39" s="60">
        <v>20819414</v>
      </c>
      <c r="BO39" s="60">
        <v>17114734</v>
      </c>
      <c r="BP39" s="60">
        <f>BO39/10*12+1098979</f>
        <v>21636659.799999997</v>
      </c>
      <c r="BQ39" s="124">
        <f>BP39*1.1</f>
        <v>23800325.779999997</v>
      </c>
      <c r="BR39" s="60">
        <v>23800326</v>
      </c>
      <c r="BS39" s="60">
        <v>23800326</v>
      </c>
      <c r="BT39" s="217">
        <v>23800326</v>
      </c>
      <c r="BU39" s="678">
        <v>32334345</v>
      </c>
      <c r="BV39" s="808">
        <v>34687275</v>
      </c>
      <c r="BW39" s="809"/>
      <c r="BX39"/>
      <c r="BY39"/>
      <c r="BZ39"/>
      <c r="CA39" s="748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</row>
    <row r="40" spans="1:101" s="39" customFormat="1" x14ac:dyDescent="0.25">
      <c r="A40" s="54" t="s">
        <v>226</v>
      </c>
      <c r="B40" s="447" t="s">
        <v>227</v>
      </c>
      <c r="C40" s="60"/>
      <c r="D40" s="60"/>
      <c r="E40" s="60"/>
      <c r="F40" s="60"/>
      <c r="G40" s="60">
        <v>421846</v>
      </c>
      <c r="H40" s="60">
        <v>421846</v>
      </c>
      <c r="I40" s="60">
        <v>864682</v>
      </c>
      <c r="J40" s="60"/>
      <c r="K40" s="60"/>
      <c r="L40" s="60"/>
      <c r="M40" s="38">
        <f t="shared" si="2"/>
        <v>0</v>
      </c>
      <c r="N40" s="60"/>
      <c r="O40" s="60"/>
      <c r="P40" s="60"/>
      <c r="Q40" s="60"/>
      <c r="R40" s="60">
        <v>545525</v>
      </c>
      <c r="S40" s="60">
        <v>545525</v>
      </c>
      <c r="T40" s="60">
        <v>600000</v>
      </c>
      <c r="U40" s="124">
        <f t="shared" si="3"/>
        <v>600000</v>
      </c>
      <c r="V40" s="124">
        <f t="shared" si="4"/>
        <v>600000</v>
      </c>
      <c r="W40" s="123">
        <f t="shared" si="11"/>
        <v>0.90920833333333329</v>
      </c>
      <c r="Y40" s="273">
        <f t="shared" si="5"/>
        <v>1.099857935016727</v>
      </c>
      <c r="Z40" s="124">
        <f t="shared" si="6"/>
        <v>600000</v>
      </c>
      <c r="AA40" s="60">
        <v>0</v>
      </c>
      <c r="AB40" s="217">
        <v>0</v>
      </c>
      <c r="AC40" s="60"/>
      <c r="AD40" s="123">
        <f t="shared" si="20"/>
        <v>0</v>
      </c>
      <c r="AE40" s="123"/>
      <c r="AF40" s="60">
        <v>600000</v>
      </c>
      <c r="AG40" s="217"/>
      <c r="AH40" s="124">
        <f t="shared" ref="AH40:AH55" si="21">AG40/10*12</f>
        <v>0</v>
      </c>
      <c r="AI40" s="260">
        <f t="shared" si="0"/>
        <v>0</v>
      </c>
      <c r="AJ40" s="60">
        <v>0</v>
      </c>
      <c r="AK40" s="124">
        <f t="shared" si="7"/>
        <v>0</v>
      </c>
      <c r="AM40" s="350">
        <v>621295</v>
      </c>
      <c r="AN40" s="350"/>
      <c r="AO40" s="356"/>
      <c r="AP40" s="60">
        <v>0</v>
      </c>
      <c r="AQ40" s="217">
        <v>0</v>
      </c>
      <c r="AR40" s="60">
        <f t="shared" si="8"/>
        <v>0</v>
      </c>
      <c r="AS40" s="59"/>
      <c r="AT40" s="60"/>
      <c r="AU40" s="60">
        <f t="shared" si="14"/>
        <v>0</v>
      </c>
      <c r="AV40" s="60"/>
      <c r="AW40" s="356"/>
      <c r="AX40" s="443">
        <f t="shared" ref="AX40:AX51" si="22">AW40*1.08</f>
        <v>0</v>
      </c>
      <c r="AY40" s="124">
        <f t="shared" si="9"/>
        <v>0</v>
      </c>
      <c r="AZ40" s="443"/>
      <c r="BA40" s="443"/>
      <c r="BB40" s="60">
        <v>0</v>
      </c>
      <c r="BC40" s="60">
        <v>191396</v>
      </c>
      <c r="BD40" s="60">
        <v>191396</v>
      </c>
      <c r="BE40" s="60">
        <v>191396</v>
      </c>
      <c r="BF40" s="60">
        <v>191396</v>
      </c>
      <c r="BG40" s="329">
        <f t="shared" ref="BG40:BG55" si="23">BF40/11*12</f>
        <v>208795.63636363635</v>
      </c>
      <c r="BH40" s="217"/>
      <c r="BI40" s="217"/>
      <c r="BJ40" s="60"/>
      <c r="BK40" s="60"/>
      <c r="BL40" s="60"/>
      <c r="BM40" s="60">
        <f t="shared" ref="BM40:BM55" si="24">BL40*1.14</f>
        <v>0</v>
      </c>
      <c r="BN40" s="60"/>
      <c r="BO40" s="60"/>
      <c r="BP40" s="60">
        <f t="shared" ref="BP40:BP52" si="25">BO40/10*12</f>
        <v>0</v>
      </c>
      <c r="BQ40" s="124">
        <f t="shared" ref="BQ40:BQ52" si="26">BP40*1.1</f>
        <v>0</v>
      </c>
      <c r="BR40" s="60"/>
      <c r="BS40" s="60"/>
      <c r="BT40" s="217"/>
      <c r="BU40" s="678"/>
      <c r="BV40" s="808"/>
      <c r="BW40" s="809"/>
      <c r="BX40"/>
      <c r="BY40"/>
      <c r="BZ40"/>
      <c r="CA40" s="748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</row>
    <row r="41" spans="1:101" s="39" customFormat="1" x14ac:dyDescent="0.25">
      <c r="A41" s="54" t="s">
        <v>31</v>
      </c>
      <c r="B41" s="447" t="s">
        <v>141</v>
      </c>
      <c r="C41" s="60">
        <v>150000</v>
      </c>
      <c r="D41" s="60">
        <v>103222</v>
      </c>
      <c r="E41" s="60">
        <v>200000</v>
      </c>
      <c r="F41" s="60">
        <v>0</v>
      </c>
      <c r="G41" s="60">
        <v>160000</v>
      </c>
      <c r="H41" s="60">
        <v>0</v>
      </c>
      <c r="I41" s="60">
        <v>0</v>
      </c>
      <c r="J41" s="60">
        <v>300000</v>
      </c>
      <c r="K41" s="60">
        <v>300000</v>
      </c>
      <c r="L41" s="60">
        <v>300000</v>
      </c>
      <c r="M41" s="38">
        <f t="shared" si="2"/>
        <v>0</v>
      </c>
      <c r="N41" s="60">
        <v>300000</v>
      </c>
      <c r="O41" s="60">
        <v>85996</v>
      </c>
      <c r="P41" s="60">
        <v>193005</v>
      </c>
      <c r="Q41" s="60">
        <v>500000</v>
      </c>
      <c r="R41" s="60">
        <v>193005</v>
      </c>
      <c r="S41" s="60">
        <v>193005</v>
      </c>
      <c r="T41" s="60">
        <v>500000</v>
      </c>
      <c r="U41" s="124">
        <f t="shared" si="3"/>
        <v>500000</v>
      </c>
      <c r="V41" s="124">
        <v>400000</v>
      </c>
      <c r="W41" s="123">
        <f t="shared" si="11"/>
        <v>0.38601000000000002</v>
      </c>
      <c r="Y41" s="273">
        <f t="shared" si="5"/>
        <v>2.072485168778011</v>
      </c>
      <c r="Z41" s="124">
        <f t="shared" si="6"/>
        <v>400000</v>
      </c>
      <c r="AA41" s="60">
        <v>191762</v>
      </c>
      <c r="AB41" s="217">
        <v>547373</v>
      </c>
      <c r="AC41" s="60">
        <v>547373</v>
      </c>
      <c r="AD41" s="123">
        <f t="shared" si="20"/>
        <v>136.84324999999998</v>
      </c>
      <c r="AE41" s="123"/>
      <c r="AF41" s="60">
        <v>900000</v>
      </c>
      <c r="AG41" s="217">
        <v>808257</v>
      </c>
      <c r="AH41" s="124">
        <f t="shared" si="21"/>
        <v>969908.39999999991</v>
      </c>
      <c r="AI41" s="260">
        <f t="shared" si="0"/>
        <v>989306.56799999997</v>
      </c>
      <c r="AJ41" s="60">
        <v>900000</v>
      </c>
      <c r="AK41" s="124">
        <f t="shared" si="7"/>
        <v>900000</v>
      </c>
      <c r="AM41" s="350">
        <v>808257</v>
      </c>
      <c r="AN41" s="350">
        <v>900000</v>
      </c>
      <c r="AO41" s="356">
        <v>166300</v>
      </c>
      <c r="AP41" s="60">
        <v>900000</v>
      </c>
      <c r="AQ41" s="217">
        <v>166300</v>
      </c>
      <c r="AR41" s="60">
        <f t="shared" si="8"/>
        <v>733700</v>
      </c>
      <c r="AS41" s="59">
        <f t="shared" si="12"/>
        <v>18.477777777777778</v>
      </c>
      <c r="AT41" s="60">
        <v>166300</v>
      </c>
      <c r="AU41" s="60">
        <f t="shared" si="14"/>
        <v>733700</v>
      </c>
      <c r="AV41" s="60">
        <f>(AU41/AP41*100)</f>
        <v>81.522222222222211</v>
      </c>
      <c r="AW41" s="356">
        <v>900000</v>
      </c>
      <c r="AX41" s="443">
        <f t="shared" si="22"/>
        <v>972000.00000000012</v>
      </c>
      <c r="AY41" s="124">
        <f t="shared" si="9"/>
        <v>972000.00000000012</v>
      </c>
      <c r="AZ41" s="443">
        <v>900000</v>
      </c>
      <c r="BA41" s="443">
        <v>900000</v>
      </c>
      <c r="BB41" s="60">
        <v>900000</v>
      </c>
      <c r="BC41" s="60">
        <v>900000</v>
      </c>
      <c r="BD41" s="60">
        <v>0</v>
      </c>
      <c r="BE41" s="60">
        <v>163664</v>
      </c>
      <c r="BF41" s="60">
        <v>163664</v>
      </c>
      <c r="BG41" s="329">
        <f t="shared" si="23"/>
        <v>178542.54545454544</v>
      </c>
      <c r="BH41" s="217">
        <v>500000</v>
      </c>
      <c r="BI41" s="217">
        <v>500000</v>
      </c>
      <c r="BJ41" s="60">
        <v>365917</v>
      </c>
      <c r="BK41" s="60">
        <v>365917</v>
      </c>
      <c r="BL41" s="60">
        <v>500000</v>
      </c>
      <c r="BM41" s="60">
        <f>BL41*1.16</f>
        <v>580000</v>
      </c>
      <c r="BN41" s="60">
        <v>580000</v>
      </c>
      <c r="BO41" s="60">
        <v>362201</v>
      </c>
      <c r="BP41" s="60">
        <f t="shared" si="25"/>
        <v>434641.19999999995</v>
      </c>
      <c r="BQ41" s="124">
        <f t="shared" si="26"/>
        <v>478105.32</v>
      </c>
      <c r="BR41" s="60">
        <v>1700000</v>
      </c>
      <c r="BS41" s="60">
        <v>1700000</v>
      </c>
      <c r="BT41" s="217">
        <v>1700000</v>
      </c>
      <c r="BU41" s="678">
        <f>1905000-905000</f>
        <v>1000000</v>
      </c>
      <c r="BV41" s="808">
        <v>500000</v>
      </c>
      <c r="BW41" s="809"/>
      <c r="BX41"/>
      <c r="BY41"/>
      <c r="BZ41"/>
      <c r="CA41" s="748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</row>
    <row r="42" spans="1:101" s="39" customFormat="1" x14ac:dyDescent="0.25">
      <c r="A42" s="54" t="s">
        <v>32</v>
      </c>
      <c r="B42" s="62" t="s">
        <v>198</v>
      </c>
      <c r="C42" s="60">
        <v>0</v>
      </c>
      <c r="D42" s="60">
        <v>0</v>
      </c>
      <c r="E42" s="60">
        <v>0</v>
      </c>
      <c r="F42" s="60"/>
      <c r="G42" s="60"/>
      <c r="H42" s="60"/>
      <c r="I42" s="60">
        <v>0</v>
      </c>
      <c r="J42" s="60"/>
      <c r="K42" s="60"/>
      <c r="L42" s="60"/>
      <c r="M42" s="38">
        <f t="shared" si="2"/>
        <v>0</v>
      </c>
      <c r="N42" s="60"/>
      <c r="O42" s="60"/>
      <c r="P42" s="60"/>
      <c r="Q42" s="60"/>
      <c r="R42" s="60"/>
      <c r="S42" s="60"/>
      <c r="T42" s="60"/>
      <c r="U42" s="124">
        <f t="shared" si="3"/>
        <v>0</v>
      </c>
      <c r="V42" s="124">
        <f t="shared" si="4"/>
        <v>0</v>
      </c>
      <c r="W42" s="123"/>
      <c r="Y42" s="273" t="e">
        <f t="shared" si="5"/>
        <v>#DIV/0!</v>
      </c>
      <c r="Z42" s="124">
        <f t="shared" si="6"/>
        <v>0</v>
      </c>
      <c r="AA42" s="60"/>
      <c r="AB42" s="217"/>
      <c r="AC42" s="60"/>
      <c r="AD42" s="123"/>
      <c r="AE42" s="123"/>
      <c r="AF42" s="60"/>
      <c r="AG42" s="217"/>
      <c r="AH42" s="124">
        <f t="shared" si="21"/>
        <v>0</v>
      </c>
      <c r="AI42" s="260">
        <f t="shared" si="0"/>
        <v>0</v>
      </c>
      <c r="AJ42" s="60"/>
      <c r="AK42" s="124">
        <f t="shared" si="7"/>
        <v>0</v>
      </c>
      <c r="AM42" s="350"/>
      <c r="AN42" s="350"/>
      <c r="AO42" s="356"/>
      <c r="AP42" s="60">
        <v>0</v>
      </c>
      <c r="AQ42" s="217">
        <v>0</v>
      </c>
      <c r="AR42" s="60">
        <f t="shared" si="8"/>
        <v>0</v>
      </c>
      <c r="AS42" s="59"/>
      <c r="AT42" s="60"/>
      <c r="AU42" s="60">
        <f t="shared" si="14"/>
        <v>0</v>
      </c>
      <c r="AV42" s="60"/>
      <c r="AW42" s="356"/>
      <c r="AX42" s="443">
        <f t="shared" si="22"/>
        <v>0</v>
      </c>
      <c r="AY42" s="124">
        <f t="shared" si="9"/>
        <v>0</v>
      </c>
      <c r="AZ42" s="443"/>
      <c r="BA42" s="443"/>
      <c r="BB42" s="60"/>
      <c r="BC42" s="60"/>
      <c r="BD42" s="60"/>
      <c r="BE42" s="60"/>
      <c r="BF42" s="60"/>
      <c r="BG42" s="329">
        <f t="shared" si="23"/>
        <v>0</v>
      </c>
      <c r="BH42" s="217">
        <f t="shared" ref="BH42:BH43" si="27">BC42</f>
        <v>0</v>
      </c>
      <c r="BI42" s="217"/>
      <c r="BJ42" s="60"/>
      <c r="BK42" s="60"/>
      <c r="BL42" s="60"/>
      <c r="BM42" s="60"/>
      <c r="BN42" s="60"/>
      <c r="BO42" s="60"/>
      <c r="BP42" s="60">
        <f t="shared" si="25"/>
        <v>0</v>
      </c>
      <c r="BQ42" s="124">
        <f t="shared" si="26"/>
        <v>0</v>
      </c>
      <c r="BR42" s="60"/>
      <c r="BS42" s="60"/>
      <c r="BT42" s="217"/>
      <c r="BU42" s="678"/>
      <c r="BV42" s="808"/>
      <c r="BW42" s="809"/>
      <c r="BX42"/>
      <c r="BY42"/>
      <c r="BZ42"/>
      <c r="CA42" s="748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</row>
    <row r="43" spans="1:101" s="39" customFormat="1" x14ac:dyDescent="0.25">
      <c r="A43" s="54" t="s">
        <v>33</v>
      </c>
      <c r="B43" s="447" t="s">
        <v>142</v>
      </c>
      <c r="C43" s="60">
        <v>0</v>
      </c>
      <c r="D43" s="60">
        <v>0</v>
      </c>
      <c r="E43" s="60">
        <v>0</v>
      </c>
      <c r="F43" s="60">
        <v>0</v>
      </c>
      <c r="G43" s="60"/>
      <c r="H43" s="60"/>
      <c r="I43" s="60">
        <v>0</v>
      </c>
      <c r="J43" s="60">
        <v>0</v>
      </c>
      <c r="K43" s="60">
        <v>0</v>
      </c>
      <c r="L43" s="60">
        <v>0</v>
      </c>
      <c r="M43" s="38">
        <f t="shared" si="2"/>
        <v>0</v>
      </c>
      <c r="N43" s="60"/>
      <c r="O43" s="60"/>
      <c r="P43" s="60"/>
      <c r="Q43" s="60"/>
      <c r="R43" s="60"/>
      <c r="S43" s="60"/>
      <c r="T43" s="60">
        <v>204137</v>
      </c>
      <c r="U43" s="124">
        <f t="shared" si="3"/>
        <v>204137</v>
      </c>
      <c r="V43" s="124">
        <f t="shared" si="4"/>
        <v>204137</v>
      </c>
      <c r="W43" s="123">
        <f t="shared" si="11"/>
        <v>0</v>
      </c>
      <c r="Y43" s="273" t="e">
        <f t="shared" si="5"/>
        <v>#DIV/0!</v>
      </c>
      <c r="Z43" s="124">
        <f t="shared" si="6"/>
        <v>204137</v>
      </c>
      <c r="AA43" s="60">
        <v>0</v>
      </c>
      <c r="AB43" s="217">
        <v>211410</v>
      </c>
      <c r="AC43" s="60">
        <v>211410</v>
      </c>
      <c r="AD43" s="123">
        <f t="shared" si="20"/>
        <v>103.56280341143447</v>
      </c>
      <c r="AE43" s="123"/>
      <c r="AF43" s="60">
        <v>211410</v>
      </c>
      <c r="AG43" s="217">
        <v>211410</v>
      </c>
      <c r="AH43" s="124">
        <f t="shared" si="21"/>
        <v>253692</v>
      </c>
      <c r="AI43" s="260"/>
      <c r="AJ43" s="60">
        <v>0</v>
      </c>
      <c r="AK43" s="124">
        <f t="shared" si="7"/>
        <v>0</v>
      </c>
      <c r="AM43" s="350">
        <v>211410</v>
      </c>
      <c r="AN43" s="350"/>
      <c r="AO43" s="356"/>
      <c r="AP43" s="60">
        <v>0</v>
      </c>
      <c r="AQ43" s="217">
        <v>0</v>
      </c>
      <c r="AR43" s="60">
        <f t="shared" si="8"/>
        <v>0</v>
      </c>
      <c r="AS43" s="59"/>
      <c r="AT43" s="60"/>
      <c r="AU43" s="60">
        <f t="shared" si="14"/>
        <v>0</v>
      </c>
      <c r="AV43" s="60"/>
      <c r="AW43" s="356"/>
      <c r="AX43" s="443">
        <f t="shared" si="22"/>
        <v>0</v>
      </c>
      <c r="AY43" s="124">
        <f t="shared" si="9"/>
        <v>0</v>
      </c>
      <c r="AZ43" s="443"/>
      <c r="BA43" s="443"/>
      <c r="BB43" s="60"/>
      <c r="BC43" s="60"/>
      <c r="BD43" s="60"/>
      <c r="BE43" s="60"/>
      <c r="BF43" s="60"/>
      <c r="BG43" s="329">
        <f t="shared" si="23"/>
        <v>0</v>
      </c>
      <c r="BH43" s="217">
        <f t="shared" si="27"/>
        <v>0</v>
      </c>
      <c r="BI43" s="217"/>
      <c r="BJ43" s="60"/>
      <c r="BK43" s="60"/>
      <c r="BL43" s="60"/>
      <c r="BM43" s="60"/>
      <c r="BN43" s="60"/>
      <c r="BO43" s="60">
        <v>47054</v>
      </c>
      <c r="BP43" s="60">
        <f t="shared" si="25"/>
        <v>56464.799999999996</v>
      </c>
      <c r="BQ43" s="124">
        <f t="shared" si="26"/>
        <v>62111.28</v>
      </c>
      <c r="BR43" s="60">
        <v>0</v>
      </c>
      <c r="BS43" s="60">
        <v>0</v>
      </c>
      <c r="BT43" s="217">
        <v>0</v>
      </c>
      <c r="BU43" s="678"/>
      <c r="BV43" s="808"/>
      <c r="BW43" s="809"/>
      <c r="BX43"/>
      <c r="BY43"/>
      <c r="BZ43"/>
      <c r="CA43" s="748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</row>
    <row r="44" spans="1:101" s="39" customFormat="1" x14ac:dyDescent="0.25">
      <c r="A44" s="54" t="s">
        <v>34</v>
      </c>
      <c r="B44" s="447" t="s">
        <v>143</v>
      </c>
      <c r="C44" s="60">
        <v>553000</v>
      </c>
      <c r="D44" s="60">
        <v>544479</v>
      </c>
      <c r="E44" s="60">
        <v>491280</v>
      </c>
      <c r="F44" s="60">
        <v>493348</v>
      </c>
      <c r="G44" s="60">
        <v>589749</v>
      </c>
      <c r="H44" s="60">
        <v>530097</v>
      </c>
      <c r="I44" s="60">
        <v>566846</v>
      </c>
      <c r="J44" s="60">
        <v>670542</v>
      </c>
      <c r="K44" s="60">
        <v>670542</v>
      </c>
      <c r="L44" s="60" t="e">
        <f>670542-150000+#REF!</f>
        <v>#REF!</v>
      </c>
      <c r="M44" s="38" t="e">
        <f t="shared" si="2"/>
        <v>#REF!</v>
      </c>
      <c r="N44" s="60">
        <v>670542</v>
      </c>
      <c r="O44" s="60">
        <v>461630</v>
      </c>
      <c r="P44" s="60">
        <v>514046</v>
      </c>
      <c r="Q44" s="60">
        <v>670542</v>
      </c>
      <c r="R44" s="60">
        <v>602878</v>
      </c>
      <c r="S44" s="60">
        <v>602878</v>
      </c>
      <c r="T44" s="60">
        <v>670542</v>
      </c>
      <c r="U44" s="124">
        <f t="shared" si="3"/>
        <v>670542</v>
      </c>
      <c r="V44" s="124">
        <f t="shared" si="4"/>
        <v>670542</v>
      </c>
      <c r="W44" s="123">
        <f t="shared" si="11"/>
        <v>0.89909058642113393</v>
      </c>
      <c r="Y44" s="273">
        <f t="shared" si="5"/>
        <v>1.112234979548101</v>
      </c>
      <c r="Z44" s="124">
        <f t="shared" si="6"/>
        <v>670542</v>
      </c>
      <c r="AA44" s="60">
        <v>185114</v>
      </c>
      <c r="AB44" s="217">
        <v>185114</v>
      </c>
      <c r="AC44" s="60">
        <v>185114</v>
      </c>
      <c r="AD44" s="123">
        <f t="shared" si="20"/>
        <v>27.606622702231924</v>
      </c>
      <c r="AE44" s="123"/>
      <c r="AF44" s="60">
        <v>670542</v>
      </c>
      <c r="AG44" s="217">
        <v>185114</v>
      </c>
      <c r="AH44" s="124">
        <f t="shared" si="21"/>
        <v>222136.80000000002</v>
      </c>
      <c r="AI44" s="260">
        <f t="shared" si="0"/>
        <v>226579.53600000002</v>
      </c>
      <c r="AJ44" s="60">
        <v>670542</v>
      </c>
      <c r="AK44" s="124">
        <v>717243</v>
      </c>
      <c r="AM44" s="350">
        <v>185114</v>
      </c>
      <c r="AN44" s="350">
        <v>717243</v>
      </c>
      <c r="AO44" s="356">
        <v>215672</v>
      </c>
      <c r="AP44" s="60">
        <v>717243</v>
      </c>
      <c r="AQ44" s="217">
        <v>238643</v>
      </c>
      <c r="AR44" s="60">
        <f t="shared" si="8"/>
        <v>478600</v>
      </c>
      <c r="AS44" s="59">
        <f t="shared" si="12"/>
        <v>33.272266163629347</v>
      </c>
      <c r="AT44" s="60">
        <v>238643</v>
      </c>
      <c r="AU44" s="60">
        <f t="shared" si="14"/>
        <v>478600</v>
      </c>
      <c r="AV44" s="60">
        <f>(AU44/AP44*100)</f>
        <v>66.72773383637066</v>
      </c>
      <c r="AW44" s="356">
        <v>717243</v>
      </c>
      <c r="AX44" s="443">
        <f t="shared" si="22"/>
        <v>774622.44000000006</v>
      </c>
      <c r="AY44" s="124">
        <f t="shared" si="9"/>
        <v>774622.44000000006</v>
      </c>
      <c r="AZ44" s="443">
        <v>717243</v>
      </c>
      <c r="BA44" s="443">
        <v>717243</v>
      </c>
      <c r="BB44" s="60">
        <v>717243</v>
      </c>
      <c r="BC44" s="60">
        <v>717243</v>
      </c>
      <c r="BD44" s="60">
        <v>173904</v>
      </c>
      <c r="BE44" s="60">
        <v>173904</v>
      </c>
      <c r="BF44" s="60">
        <v>173904</v>
      </c>
      <c r="BG44" s="329">
        <f t="shared" si="23"/>
        <v>189713.45454545456</v>
      </c>
      <c r="BH44" s="217">
        <v>1000000</v>
      </c>
      <c r="BI44" s="217">
        <v>1000000</v>
      </c>
      <c r="BJ44" s="60">
        <v>488574</v>
      </c>
      <c r="BK44" s="60">
        <v>488574</v>
      </c>
      <c r="BL44" s="60">
        <v>1000000</v>
      </c>
      <c r="BM44" s="60">
        <f>BL44*1.16+200000</f>
        <v>1360000</v>
      </c>
      <c r="BN44" s="60">
        <v>1360000</v>
      </c>
      <c r="BO44" s="60">
        <v>390625</v>
      </c>
      <c r="BP44" s="60">
        <f t="shared" si="25"/>
        <v>468750</v>
      </c>
      <c r="BQ44" s="124">
        <f t="shared" si="26"/>
        <v>515625.00000000006</v>
      </c>
      <c r="BR44" s="60">
        <v>500000</v>
      </c>
      <c r="BS44" s="60">
        <v>500000</v>
      </c>
      <c r="BT44" s="217">
        <v>500000</v>
      </c>
      <c r="BU44" s="678">
        <v>1050000</v>
      </c>
      <c r="BV44" s="808">
        <v>900000</v>
      </c>
      <c r="BW44" s="809"/>
      <c r="BX44"/>
      <c r="BY44"/>
      <c r="BZ44"/>
      <c r="CA44" s="748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</row>
    <row r="45" spans="1:101" s="39" customFormat="1" x14ac:dyDescent="0.25">
      <c r="A45" s="54" t="s">
        <v>35</v>
      </c>
      <c r="B45" s="447" t="s">
        <v>144</v>
      </c>
      <c r="C45" s="60">
        <v>0</v>
      </c>
      <c r="D45" s="60">
        <v>0</v>
      </c>
      <c r="E45" s="60">
        <v>0</v>
      </c>
      <c r="F45" s="60">
        <v>0</v>
      </c>
      <c r="G45" s="60"/>
      <c r="H45" s="60"/>
      <c r="I45" s="60">
        <v>0</v>
      </c>
      <c r="J45" s="60">
        <v>72000</v>
      </c>
      <c r="K45" s="60">
        <v>72000</v>
      </c>
      <c r="L45" s="60">
        <v>72000</v>
      </c>
      <c r="M45" s="38">
        <f t="shared" si="2"/>
        <v>0</v>
      </c>
      <c r="N45" s="60">
        <v>72000</v>
      </c>
      <c r="O45" s="60"/>
      <c r="P45" s="60"/>
      <c r="Q45" s="60">
        <v>72000</v>
      </c>
      <c r="R45" s="60"/>
      <c r="S45" s="60"/>
      <c r="T45" s="60"/>
      <c r="U45" s="124">
        <f t="shared" si="3"/>
        <v>0</v>
      </c>
      <c r="V45" s="124">
        <f t="shared" si="4"/>
        <v>0</v>
      </c>
      <c r="W45" s="123"/>
      <c r="Y45" s="273" t="e">
        <f t="shared" si="5"/>
        <v>#DIV/0!</v>
      </c>
      <c r="Z45" s="124">
        <f t="shared" si="6"/>
        <v>0</v>
      </c>
      <c r="AA45" s="60">
        <v>44695</v>
      </c>
      <c r="AB45" s="217">
        <v>53525</v>
      </c>
      <c r="AC45" s="60">
        <v>53525</v>
      </c>
      <c r="AD45" s="123"/>
      <c r="AE45" s="123"/>
      <c r="AF45" s="60">
        <v>120000</v>
      </c>
      <c r="AG45" s="217">
        <v>57295</v>
      </c>
      <c r="AH45" s="124">
        <f t="shared" si="21"/>
        <v>68754</v>
      </c>
      <c r="AI45" s="260">
        <f t="shared" si="0"/>
        <v>70129.08</v>
      </c>
      <c r="AJ45" s="60">
        <v>120000</v>
      </c>
      <c r="AK45" s="124">
        <f t="shared" si="7"/>
        <v>120000</v>
      </c>
      <c r="AM45" s="350">
        <v>65585</v>
      </c>
      <c r="AN45" s="350">
        <v>120000</v>
      </c>
      <c r="AO45" s="356">
        <v>26750</v>
      </c>
      <c r="AP45" s="60">
        <v>120000</v>
      </c>
      <c r="AQ45" s="217">
        <v>41445</v>
      </c>
      <c r="AR45" s="60">
        <f t="shared" si="8"/>
        <v>78555</v>
      </c>
      <c r="AS45" s="59">
        <f t="shared" si="12"/>
        <v>34.537500000000001</v>
      </c>
      <c r="AT45" s="60">
        <v>41445</v>
      </c>
      <c r="AU45" s="60">
        <f t="shared" si="14"/>
        <v>78555</v>
      </c>
      <c r="AV45" s="60">
        <f>(AU45/AP45*100)</f>
        <v>65.462500000000006</v>
      </c>
      <c r="AW45" s="356">
        <v>120000</v>
      </c>
      <c r="AX45" s="443">
        <f t="shared" si="22"/>
        <v>129600.00000000001</v>
      </c>
      <c r="AY45" s="124">
        <f t="shared" si="9"/>
        <v>129600.00000000001</v>
      </c>
      <c r="AZ45" s="443">
        <v>120000</v>
      </c>
      <c r="BA45" s="443">
        <v>120000</v>
      </c>
      <c r="BB45" s="60">
        <v>120000</v>
      </c>
      <c r="BC45" s="60">
        <v>120000</v>
      </c>
      <c r="BD45" s="60">
        <v>24868</v>
      </c>
      <c r="BE45" s="60">
        <v>61649</v>
      </c>
      <c r="BF45" s="60">
        <v>70630</v>
      </c>
      <c r="BG45" s="329">
        <f t="shared" si="23"/>
        <v>77050.909090909088</v>
      </c>
      <c r="BH45" s="217">
        <v>460000</v>
      </c>
      <c r="BI45" s="217">
        <v>460000</v>
      </c>
      <c r="BJ45" s="60">
        <v>146306</v>
      </c>
      <c r="BK45" s="60">
        <v>212926</v>
      </c>
      <c r="BL45" s="60">
        <v>460000</v>
      </c>
      <c r="BM45" s="60">
        <f>BL45*1.16</f>
        <v>533600</v>
      </c>
      <c r="BN45" s="60">
        <v>533600</v>
      </c>
      <c r="BO45" s="60">
        <v>163402</v>
      </c>
      <c r="BP45" s="60">
        <f t="shared" si="25"/>
        <v>196082.40000000002</v>
      </c>
      <c r="BQ45" s="124">
        <f t="shared" si="26"/>
        <v>215690.64000000004</v>
      </c>
      <c r="BR45" s="60">
        <v>200000</v>
      </c>
      <c r="BS45" s="60">
        <v>200000</v>
      </c>
      <c r="BT45" s="217">
        <v>200000</v>
      </c>
      <c r="BU45" s="678">
        <v>130000</v>
      </c>
      <c r="BV45" s="808">
        <v>150000</v>
      </c>
      <c r="BW45" s="809"/>
      <c r="BX45"/>
      <c r="BY45"/>
      <c r="BZ45"/>
      <c r="CA45" s="748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</row>
    <row r="46" spans="1:101" s="39" customFormat="1" x14ac:dyDescent="0.25">
      <c r="A46" s="54" t="s">
        <v>36</v>
      </c>
      <c r="B46" s="447" t="s">
        <v>145</v>
      </c>
      <c r="C46" s="60">
        <v>0</v>
      </c>
      <c r="D46" s="60">
        <v>0</v>
      </c>
      <c r="E46" s="60">
        <v>0</v>
      </c>
      <c r="F46" s="60">
        <v>42000</v>
      </c>
      <c r="G46" s="60">
        <v>42000</v>
      </c>
      <c r="H46" s="60">
        <v>42000</v>
      </c>
      <c r="I46" s="60">
        <v>66000</v>
      </c>
      <c r="J46" s="60">
        <v>0</v>
      </c>
      <c r="K46" s="60">
        <v>0</v>
      </c>
      <c r="L46" s="60">
        <v>0</v>
      </c>
      <c r="M46" s="38">
        <f t="shared" si="2"/>
        <v>0</v>
      </c>
      <c r="N46" s="60">
        <v>50000</v>
      </c>
      <c r="O46" s="60">
        <v>27000</v>
      </c>
      <c r="P46" s="60">
        <v>27000</v>
      </c>
      <c r="Q46" s="60"/>
      <c r="R46" s="60">
        <v>57000</v>
      </c>
      <c r="S46" s="60">
        <v>57000</v>
      </c>
      <c r="T46" s="60">
        <v>72000</v>
      </c>
      <c r="U46" s="124">
        <f t="shared" si="3"/>
        <v>72000</v>
      </c>
      <c r="V46" s="124">
        <f t="shared" si="4"/>
        <v>72000</v>
      </c>
      <c r="W46" s="123">
        <f t="shared" si="11"/>
        <v>0.79166666666666663</v>
      </c>
      <c r="Y46" s="273">
        <f t="shared" si="5"/>
        <v>1.263157894736842</v>
      </c>
      <c r="Z46" s="124">
        <f t="shared" si="6"/>
        <v>72000</v>
      </c>
      <c r="AA46" s="60">
        <v>0</v>
      </c>
      <c r="AB46" s="217">
        <v>24000</v>
      </c>
      <c r="AC46" s="60">
        <v>24000</v>
      </c>
      <c r="AD46" s="123">
        <f t="shared" si="20"/>
        <v>33.333333333333329</v>
      </c>
      <c r="AE46" s="123"/>
      <c r="AF46" s="60">
        <v>72000</v>
      </c>
      <c r="AG46" s="217">
        <v>24000</v>
      </c>
      <c r="AH46" s="124">
        <f t="shared" si="21"/>
        <v>28800</v>
      </c>
      <c r="AI46" s="260">
        <f t="shared" si="0"/>
        <v>29376</v>
      </c>
      <c r="AJ46" s="60">
        <v>72000</v>
      </c>
      <c r="AK46" s="124">
        <f t="shared" si="7"/>
        <v>72000</v>
      </c>
      <c r="AM46" s="350">
        <v>52000</v>
      </c>
      <c r="AN46" s="350">
        <v>72000</v>
      </c>
      <c r="AO46" s="356"/>
      <c r="AP46" s="60">
        <v>72000</v>
      </c>
      <c r="AQ46" s="217">
        <v>30000</v>
      </c>
      <c r="AR46" s="60">
        <f t="shared" si="8"/>
        <v>42000</v>
      </c>
      <c r="AS46" s="59">
        <f t="shared" si="12"/>
        <v>41.666666666666671</v>
      </c>
      <c r="AT46" s="60">
        <v>30000</v>
      </c>
      <c r="AU46" s="60">
        <f t="shared" si="14"/>
        <v>42000</v>
      </c>
      <c r="AV46" s="60">
        <f>(AU46/AP46*100)</f>
        <v>58.333333333333336</v>
      </c>
      <c r="AW46" s="356">
        <v>72000</v>
      </c>
      <c r="AX46" s="443">
        <f t="shared" si="22"/>
        <v>77760</v>
      </c>
      <c r="AY46" s="124">
        <f t="shared" si="9"/>
        <v>77760</v>
      </c>
      <c r="AZ46" s="443">
        <v>72000</v>
      </c>
      <c r="BA46" s="443">
        <v>72000</v>
      </c>
      <c r="BB46" s="60">
        <v>72000</v>
      </c>
      <c r="BC46" s="60">
        <v>72000</v>
      </c>
      <c r="BD46" s="60">
        <v>24000</v>
      </c>
      <c r="BE46" s="60">
        <v>24000</v>
      </c>
      <c r="BF46" s="60">
        <v>24000</v>
      </c>
      <c r="BG46" s="329">
        <f t="shared" si="23"/>
        <v>26181.818181818184</v>
      </c>
      <c r="BH46" s="217">
        <v>72000</v>
      </c>
      <c r="BI46" s="217">
        <v>72000</v>
      </c>
      <c r="BJ46" s="60">
        <v>0</v>
      </c>
      <c r="BK46" s="60">
        <v>24000</v>
      </c>
      <c r="BL46" s="60">
        <v>72000</v>
      </c>
      <c r="BM46" s="60">
        <f>BL46*1.16</f>
        <v>83520</v>
      </c>
      <c r="BN46" s="60">
        <v>83520</v>
      </c>
      <c r="BO46" s="60"/>
      <c r="BP46" s="60">
        <f t="shared" si="25"/>
        <v>0</v>
      </c>
      <c r="BQ46" s="124">
        <f t="shared" si="26"/>
        <v>0</v>
      </c>
      <c r="BR46" s="60"/>
      <c r="BS46" s="60"/>
      <c r="BT46" s="217"/>
      <c r="BU46" s="678"/>
      <c r="BV46" s="808"/>
      <c r="BW46" s="809"/>
      <c r="BX46"/>
      <c r="BY46"/>
      <c r="BZ46" s="804"/>
      <c r="CA46" s="748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</row>
    <row r="47" spans="1:101" s="39" customFormat="1" x14ac:dyDescent="0.25">
      <c r="A47" s="54" t="s">
        <v>488</v>
      </c>
      <c r="B47" s="447" t="s">
        <v>489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38"/>
      <c r="N47" s="60"/>
      <c r="O47" s="60"/>
      <c r="P47" s="60"/>
      <c r="Q47" s="60"/>
      <c r="R47" s="60"/>
      <c r="S47" s="60"/>
      <c r="T47" s="60"/>
      <c r="U47" s="124"/>
      <c r="V47" s="124"/>
      <c r="W47" s="123"/>
      <c r="Y47" s="273"/>
      <c r="Z47" s="124"/>
      <c r="AA47" s="60"/>
      <c r="AB47" s="217"/>
      <c r="AC47" s="60"/>
      <c r="AD47" s="123"/>
      <c r="AE47" s="123"/>
      <c r="AF47" s="60"/>
      <c r="AG47" s="217"/>
      <c r="AH47" s="124">
        <f t="shared" si="21"/>
        <v>0</v>
      </c>
      <c r="AI47" s="260">
        <f t="shared" si="0"/>
        <v>0</v>
      </c>
      <c r="AJ47" s="60"/>
      <c r="AK47" s="124">
        <f t="shared" si="7"/>
        <v>0</v>
      </c>
      <c r="AM47" s="350"/>
      <c r="AN47" s="350"/>
      <c r="AO47" s="356"/>
      <c r="AP47" s="60">
        <v>0</v>
      </c>
      <c r="AQ47" s="217">
        <v>0</v>
      </c>
      <c r="AR47" s="60">
        <f t="shared" si="8"/>
        <v>0</v>
      </c>
      <c r="AS47" s="59"/>
      <c r="AT47" s="60"/>
      <c r="AU47" s="60">
        <f t="shared" si="14"/>
        <v>0</v>
      </c>
      <c r="AV47" s="60"/>
      <c r="AW47" s="356"/>
      <c r="AX47" s="443">
        <f t="shared" si="22"/>
        <v>0</v>
      </c>
      <c r="AY47" s="124">
        <f t="shared" si="9"/>
        <v>0</v>
      </c>
      <c r="AZ47" s="443"/>
      <c r="BA47" s="443"/>
      <c r="BB47" s="60"/>
      <c r="BC47" s="60"/>
      <c r="BD47" s="60"/>
      <c r="BE47" s="60"/>
      <c r="BF47" s="60"/>
      <c r="BG47" s="329">
        <f t="shared" si="23"/>
        <v>0</v>
      </c>
      <c r="BH47" s="217"/>
      <c r="BI47" s="217"/>
      <c r="BJ47" s="60"/>
      <c r="BK47" s="60"/>
      <c r="BL47" s="60"/>
      <c r="BM47" s="60">
        <f t="shared" si="24"/>
        <v>0</v>
      </c>
      <c r="BN47" s="60"/>
      <c r="BO47" s="60"/>
      <c r="BP47" s="60">
        <f t="shared" si="25"/>
        <v>0</v>
      </c>
      <c r="BQ47" s="124">
        <f t="shared" si="26"/>
        <v>0</v>
      </c>
      <c r="BR47" s="60"/>
      <c r="BS47" s="60"/>
      <c r="BT47" s="217"/>
      <c r="BU47" s="678"/>
      <c r="BV47" s="808"/>
      <c r="BW47" s="809"/>
      <c r="BX47"/>
      <c r="BY47"/>
      <c r="BZ47"/>
      <c r="CA47" s="748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</row>
    <row r="48" spans="1:101" s="39" customFormat="1" x14ac:dyDescent="0.25">
      <c r="A48" s="54" t="s">
        <v>228</v>
      </c>
      <c r="B48" s="447" t="s">
        <v>229</v>
      </c>
      <c r="C48" s="60"/>
      <c r="D48" s="60"/>
      <c r="E48" s="60"/>
      <c r="F48" s="60"/>
      <c r="G48" s="60">
        <v>180000</v>
      </c>
      <c r="H48" s="60">
        <v>113733</v>
      </c>
      <c r="I48" s="60">
        <v>131761</v>
      </c>
      <c r="J48" s="60"/>
      <c r="K48" s="60"/>
      <c r="L48" s="60"/>
      <c r="M48" s="38">
        <f t="shared" si="2"/>
        <v>0</v>
      </c>
      <c r="N48" s="60">
        <v>200000</v>
      </c>
      <c r="O48" s="60">
        <v>109261</v>
      </c>
      <c r="P48" s="60">
        <v>109261</v>
      </c>
      <c r="Q48" s="60"/>
      <c r="R48" s="60">
        <v>189931</v>
      </c>
      <c r="S48" s="60">
        <v>129362</v>
      </c>
      <c r="T48" s="60">
        <v>200000</v>
      </c>
      <c r="U48" s="124">
        <f t="shared" si="3"/>
        <v>200000</v>
      </c>
      <c r="V48" s="124">
        <f t="shared" si="4"/>
        <v>200000</v>
      </c>
      <c r="W48" s="123">
        <f t="shared" si="11"/>
        <v>0.64681</v>
      </c>
      <c r="Y48" s="273">
        <f t="shared" si="5"/>
        <v>1.5460490715975326</v>
      </c>
      <c r="Z48" s="124">
        <f t="shared" si="6"/>
        <v>200000</v>
      </c>
      <c r="AA48" s="60">
        <v>67668</v>
      </c>
      <c r="AB48" s="217">
        <v>74325</v>
      </c>
      <c r="AC48" s="60">
        <v>130504</v>
      </c>
      <c r="AD48" s="123">
        <f t="shared" si="20"/>
        <v>65.251999999999995</v>
      </c>
      <c r="AE48" s="123"/>
      <c r="AF48" s="60">
        <v>200000</v>
      </c>
      <c r="AG48" s="217">
        <v>140580</v>
      </c>
      <c r="AH48" s="124">
        <f t="shared" si="21"/>
        <v>168696</v>
      </c>
      <c r="AI48" s="260">
        <f t="shared" si="0"/>
        <v>172069.92</v>
      </c>
      <c r="AJ48" s="60">
        <v>200000</v>
      </c>
      <c r="AK48" s="124">
        <f t="shared" si="7"/>
        <v>200000</v>
      </c>
      <c r="AM48" s="350">
        <v>212899</v>
      </c>
      <c r="AN48" s="350">
        <v>200000</v>
      </c>
      <c r="AO48" s="356">
        <v>13188</v>
      </c>
      <c r="AP48" s="60">
        <v>600000</v>
      </c>
      <c r="AQ48" s="217">
        <v>483044</v>
      </c>
      <c r="AR48" s="60">
        <f t="shared" si="8"/>
        <v>116956</v>
      </c>
      <c r="AS48" s="59">
        <f t="shared" si="12"/>
        <v>80.507333333333335</v>
      </c>
      <c r="AT48" s="60">
        <v>515150</v>
      </c>
      <c r="AU48" s="60">
        <f t="shared" si="14"/>
        <v>84850</v>
      </c>
      <c r="AV48" s="60">
        <f>(AU48/AP48*100)</f>
        <v>14.141666666666666</v>
      </c>
      <c r="AW48" s="356">
        <v>200000</v>
      </c>
      <c r="AX48" s="443">
        <f t="shared" si="22"/>
        <v>216000</v>
      </c>
      <c r="AY48" s="124">
        <f t="shared" si="9"/>
        <v>216000</v>
      </c>
      <c r="AZ48" s="443">
        <v>200000</v>
      </c>
      <c r="BA48" s="443">
        <v>200000</v>
      </c>
      <c r="BB48" s="60">
        <v>200000</v>
      </c>
      <c r="BC48" s="60">
        <v>291140</v>
      </c>
      <c r="BD48" s="60">
        <v>283652</v>
      </c>
      <c r="BE48" s="60">
        <v>376400</v>
      </c>
      <c r="BF48" s="60">
        <v>376400</v>
      </c>
      <c r="BG48" s="329">
        <f t="shared" si="23"/>
        <v>410618.18181818177</v>
      </c>
      <c r="BH48" s="217">
        <v>200000</v>
      </c>
      <c r="BI48" s="217">
        <v>200000</v>
      </c>
      <c r="BJ48" s="60">
        <v>36545</v>
      </c>
      <c r="BK48" s="60">
        <v>36545</v>
      </c>
      <c r="BL48" s="60">
        <v>200000</v>
      </c>
      <c r="BM48" s="60">
        <f>BL48*1.16</f>
        <v>231999.99999999997</v>
      </c>
      <c r="BN48" s="60">
        <v>232000</v>
      </c>
      <c r="BO48" s="60">
        <v>130252</v>
      </c>
      <c r="BP48" s="60">
        <f t="shared" si="25"/>
        <v>156302.40000000002</v>
      </c>
      <c r="BQ48" s="124">
        <f t="shared" si="26"/>
        <v>171932.64000000004</v>
      </c>
      <c r="BR48" s="60">
        <v>170000</v>
      </c>
      <c r="BS48" s="60">
        <v>170000</v>
      </c>
      <c r="BT48" s="217">
        <v>170000</v>
      </c>
      <c r="BU48" s="678">
        <v>500000</v>
      </c>
      <c r="BV48" s="808"/>
      <c r="BW48" s="809"/>
      <c r="BX48"/>
      <c r="BY48"/>
      <c r="BZ48"/>
      <c r="CA48" s="7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</row>
    <row r="49" spans="1:101" s="39" customFormat="1" x14ac:dyDescent="0.25">
      <c r="A49" s="54" t="s">
        <v>255</v>
      </c>
      <c r="B49" s="447" t="s">
        <v>256</v>
      </c>
      <c r="C49" s="60"/>
      <c r="D49" s="60"/>
      <c r="E49" s="60"/>
      <c r="F49" s="60"/>
      <c r="G49" s="60"/>
      <c r="H49" s="60"/>
      <c r="I49" s="60">
        <v>0</v>
      </c>
      <c r="J49" s="60"/>
      <c r="K49" s="60"/>
      <c r="L49" s="60"/>
      <c r="M49" s="38">
        <f t="shared" si="2"/>
        <v>0</v>
      </c>
      <c r="N49" s="60"/>
      <c r="O49" s="60"/>
      <c r="P49" s="60"/>
      <c r="Q49" s="60"/>
      <c r="R49" s="60"/>
      <c r="S49" s="60"/>
      <c r="T49" s="60"/>
      <c r="U49" s="124">
        <f t="shared" si="3"/>
        <v>0</v>
      </c>
      <c r="V49" s="124">
        <f t="shared" si="4"/>
        <v>0</v>
      </c>
      <c r="W49" s="123"/>
      <c r="Y49" s="273" t="e">
        <f t="shared" si="5"/>
        <v>#DIV/0!</v>
      </c>
      <c r="Z49" s="124">
        <f t="shared" si="6"/>
        <v>0</v>
      </c>
      <c r="AA49" s="60"/>
      <c r="AB49" s="217"/>
      <c r="AC49" s="60"/>
      <c r="AD49" s="123"/>
      <c r="AE49" s="123"/>
      <c r="AF49" s="60"/>
      <c r="AG49" s="217"/>
      <c r="AH49" s="124">
        <f t="shared" si="21"/>
        <v>0</v>
      </c>
      <c r="AI49" s="260">
        <f t="shared" si="0"/>
        <v>0</v>
      </c>
      <c r="AJ49" s="60">
        <v>0</v>
      </c>
      <c r="AK49" s="124">
        <f t="shared" si="7"/>
        <v>0</v>
      </c>
      <c r="AM49" s="350"/>
      <c r="AN49" s="350"/>
      <c r="AO49" s="356"/>
      <c r="AP49" s="60">
        <v>0</v>
      </c>
      <c r="AQ49" s="217">
        <v>0</v>
      </c>
      <c r="AR49" s="60">
        <f t="shared" si="8"/>
        <v>0</v>
      </c>
      <c r="AS49" s="59"/>
      <c r="AT49" s="60">
        <v>0</v>
      </c>
      <c r="AU49" s="60">
        <f t="shared" si="14"/>
        <v>0</v>
      </c>
      <c r="AV49" s="60"/>
      <c r="AW49" s="356"/>
      <c r="AX49" s="443">
        <f t="shared" si="22"/>
        <v>0</v>
      </c>
      <c r="AY49" s="124">
        <f t="shared" si="9"/>
        <v>0</v>
      </c>
      <c r="AZ49" s="443"/>
      <c r="BA49" s="443"/>
      <c r="BB49" s="60"/>
      <c r="BC49" s="60"/>
      <c r="BD49" s="60"/>
      <c r="BE49" s="60"/>
      <c r="BF49" s="60"/>
      <c r="BG49" s="329">
        <f t="shared" si="23"/>
        <v>0</v>
      </c>
      <c r="BH49" s="217"/>
      <c r="BI49" s="217"/>
      <c r="BJ49" s="60"/>
      <c r="BK49" s="60"/>
      <c r="BL49" s="60"/>
      <c r="BM49" s="60">
        <f t="shared" si="24"/>
        <v>0</v>
      </c>
      <c r="BN49" s="60"/>
      <c r="BO49" s="60"/>
      <c r="BP49" s="60">
        <f t="shared" si="25"/>
        <v>0</v>
      </c>
      <c r="BQ49" s="124">
        <f t="shared" si="26"/>
        <v>0</v>
      </c>
      <c r="BR49" s="60"/>
      <c r="BS49" s="60"/>
      <c r="BT49" s="217"/>
      <c r="BU49" s="678"/>
      <c r="BV49" s="808"/>
      <c r="BW49" s="809"/>
      <c r="BX49"/>
      <c r="BY49"/>
      <c r="BZ49"/>
      <c r="CA49" s="748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</row>
    <row r="50" spans="1:101" s="39" customFormat="1" x14ac:dyDescent="0.25">
      <c r="A50" s="54" t="s">
        <v>37</v>
      </c>
      <c r="B50" s="447" t="s">
        <v>146</v>
      </c>
      <c r="C50" s="60">
        <v>405000</v>
      </c>
      <c r="D50" s="60">
        <v>345161</v>
      </c>
      <c r="E50" s="60">
        <v>150000</v>
      </c>
      <c r="F50" s="60">
        <v>100588</v>
      </c>
      <c r="G50" s="60">
        <v>405000</v>
      </c>
      <c r="H50" s="60">
        <v>115588</v>
      </c>
      <c r="I50" s="60">
        <v>130588</v>
      </c>
      <c r="J50" s="60">
        <v>1110000</v>
      </c>
      <c r="K50" s="60">
        <v>1110000</v>
      </c>
      <c r="L50" s="60">
        <v>1110000</v>
      </c>
      <c r="M50" s="38">
        <f t="shared" si="2"/>
        <v>850.00153153429108</v>
      </c>
      <c r="N50" s="60">
        <v>1410000</v>
      </c>
      <c r="O50" s="60">
        <v>1304650</v>
      </c>
      <c r="P50" s="60">
        <v>1319650</v>
      </c>
      <c r="Q50" s="60">
        <v>1500000</v>
      </c>
      <c r="R50" s="60">
        <v>1518187</v>
      </c>
      <c r="S50" s="60">
        <v>1518187</v>
      </c>
      <c r="T50" s="60">
        <v>1500000</v>
      </c>
      <c r="U50" s="124">
        <f t="shared" si="3"/>
        <v>1500000</v>
      </c>
      <c r="V50" s="124">
        <f t="shared" si="4"/>
        <v>1500000</v>
      </c>
      <c r="W50" s="123">
        <f t="shared" si="11"/>
        <v>1.0121246666666666</v>
      </c>
      <c r="Y50" s="273">
        <f t="shared" si="5"/>
        <v>0.98802057980999702</v>
      </c>
      <c r="Z50" s="124">
        <f t="shared" si="6"/>
        <v>1500000</v>
      </c>
      <c r="AA50" s="60">
        <v>412074</v>
      </c>
      <c r="AB50" s="217">
        <v>889602</v>
      </c>
      <c r="AC50" s="60">
        <v>1059139</v>
      </c>
      <c r="AD50" s="123">
        <f t="shared" si="20"/>
        <v>70.60926666666667</v>
      </c>
      <c r="AE50" s="123"/>
      <c r="AF50" s="60">
        <v>1500000</v>
      </c>
      <c r="AG50" s="217">
        <v>1155669</v>
      </c>
      <c r="AH50" s="124">
        <f t="shared" si="21"/>
        <v>1386802.7999999998</v>
      </c>
      <c r="AI50" s="260">
        <f t="shared" si="0"/>
        <v>1414538.8559999999</v>
      </c>
      <c r="AJ50" s="60">
        <v>1600000</v>
      </c>
      <c r="AK50" s="124">
        <f t="shared" si="7"/>
        <v>1600000</v>
      </c>
      <c r="AM50" s="350">
        <v>1256848</v>
      </c>
      <c r="AN50" s="350">
        <v>1600000</v>
      </c>
      <c r="AO50" s="356">
        <v>254719</v>
      </c>
      <c r="AP50" s="60">
        <v>1600000</v>
      </c>
      <c r="AQ50" s="217">
        <v>1212613</v>
      </c>
      <c r="AR50" s="60">
        <f t="shared" si="8"/>
        <v>387387</v>
      </c>
      <c r="AS50" s="59">
        <f t="shared" si="12"/>
        <v>75.788312500000004</v>
      </c>
      <c r="AT50" s="60">
        <v>1371460</v>
      </c>
      <c r="AU50" s="60">
        <f t="shared" si="14"/>
        <v>228540</v>
      </c>
      <c r="AV50" s="60">
        <f>(AU50/AP50*100)</f>
        <v>14.283750000000001</v>
      </c>
      <c r="AW50" s="356">
        <v>1600000</v>
      </c>
      <c r="AX50" s="443">
        <f t="shared" si="22"/>
        <v>1728000</v>
      </c>
      <c r="AY50" s="124">
        <f t="shared" si="9"/>
        <v>1728000</v>
      </c>
      <c r="AZ50" s="443">
        <v>1600000</v>
      </c>
      <c r="BA50" s="443">
        <v>1600000</v>
      </c>
      <c r="BB50" s="60">
        <v>1600000</v>
      </c>
      <c r="BC50" s="60">
        <v>2344452</v>
      </c>
      <c r="BD50" s="60">
        <v>2292673</v>
      </c>
      <c r="BE50" s="60">
        <v>3931327</v>
      </c>
      <c r="BF50" s="60">
        <v>3961327</v>
      </c>
      <c r="BG50" s="329">
        <f t="shared" si="23"/>
        <v>4321447.6363636367</v>
      </c>
      <c r="BH50" s="217">
        <v>5172000</v>
      </c>
      <c r="BI50" s="217">
        <v>5172000</v>
      </c>
      <c r="BJ50" s="60">
        <v>1630633</v>
      </c>
      <c r="BK50" s="60">
        <v>2181211</v>
      </c>
      <c r="BL50" s="60">
        <v>5172000</v>
      </c>
      <c r="BM50" s="60">
        <f>BL50*1.16+500000</f>
        <v>6499520</v>
      </c>
      <c r="BN50" s="60">
        <v>6499520</v>
      </c>
      <c r="BO50" s="60">
        <v>941337</v>
      </c>
      <c r="BP50" s="60">
        <f t="shared" si="25"/>
        <v>1129604.3999999999</v>
      </c>
      <c r="BQ50" s="124">
        <f t="shared" si="26"/>
        <v>1242564.8400000001</v>
      </c>
      <c r="BR50" s="60">
        <v>1100000</v>
      </c>
      <c r="BS50" s="60">
        <v>1100000</v>
      </c>
      <c r="BT50" s="217">
        <v>1100000</v>
      </c>
      <c r="BU50" s="678">
        <v>2540000</v>
      </c>
      <c r="BV50" s="808">
        <v>1000000</v>
      </c>
      <c r="BW50" s="809"/>
      <c r="BX50"/>
      <c r="BY50"/>
      <c r="BZ50"/>
      <c r="CA50" s="748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</row>
    <row r="51" spans="1:101" s="39" customFormat="1" x14ac:dyDescent="0.25">
      <c r="A51" s="54" t="s">
        <v>38</v>
      </c>
      <c r="B51" s="447" t="s">
        <v>147</v>
      </c>
      <c r="C51" s="60">
        <v>0</v>
      </c>
      <c r="D51" s="60">
        <v>0</v>
      </c>
      <c r="E51" s="60">
        <v>0</v>
      </c>
      <c r="F51" s="60">
        <v>95185</v>
      </c>
      <c r="G51" s="60">
        <v>100000</v>
      </c>
      <c r="H51" s="60">
        <v>95185</v>
      </c>
      <c r="I51" s="60">
        <v>103838.18181818182</v>
      </c>
      <c r="J51" s="60">
        <v>0</v>
      </c>
      <c r="K51" s="60">
        <v>0</v>
      </c>
      <c r="L51" s="60">
        <v>0</v>
      </c>
      <c r="M51" s="38">
        <f t="shared" si="2"/>
        <v>0</v>
      </c>
      <c r="N51" s="60">
        <v>50000</v>
      </c>
      <c r="O51" s="60">
        <v>8000</v>
      </c>
      <c r="P51" s="60">
        <v>8000</v>
      </c>
      <c r="Q51" s="60"/>
      <c r="R51" s="60">
        <v>8000</v>
      </c>
      <c r="S51" s="60">
        <v>8000</v>
      </c>
      <c r="T51" s="60"/>
      <c r="U51" s="124">
        <f t="shared" si="3"/>
        <v>0</v>
      </c>
      <c r="V51" s="124">
        <f t="shared" si="4"/>
        <v>0</v>
      </c>
      <c r="W51" s="123"/>
      <c r="Y51" s="273">
        <f t="shared" si="5"/>
        <v>0</v>
      </c>
      <c r="Z51" s="124">
        <f t="shared" si="6"/>
        <v>0</v>
      </c>
      <c r="AA51" s="60">
        <v>28870</v>
      </c>
      <c r="AB51" s="217">
        <v>28870</v>
      </c>
      <c r="AC51" s="60">
        <v>28870</v>
      </c>
      <c r="AD51" s="123"/>
      <c r="AE51" s="123"/>
      <c r="AF51" s="60">
        <v>100000</v>
      </c>
      <c r="AG51" s="217">
        <v>28870</v>
      </c>
      <c r="AH51" s="124">
        <f t="shared" si="21"/>
        <v>34644</v>
      </c>
      <c r="AI51" s="260">
        <f t="shared" si="0"/>
        <v>35336.879999999997</v>
      </c>
      <c r="AJ51" s="60">
        <v>100000</v>
      </c>
      <c r="AK51" s="124">
        <f t="shared" si="7"/>
        <v>100000</v>
      </c>
      <c r="AM51" s="350">
        <v>28870</v>
      </c>
      <c r="AN51" s="350">
        <v>100000</v>
      </c>
      <c r="AO51" s="356">
        <v>56179</v>
      </c>
      <c r="AP51" s="60">
        <v>100000</v>
      </c>
      <c r="AQ51" s="217">
        <v>56179</v>
      </c>
      <c r="AR51" s="60">
        <f t="shared" si="8"/>
        <v>43821</v>
      </c>
      <c r="AS51" s="59">
        <f t="shared" si="12"/>
        <v>56.179000000000002</v>
      </c>
      <c r="AT51" s="60">
        <v>56179</v>
      </c>
      <c r="AU51" s="60">
        <f t="shared" si="14"/>
        <v>43821</v>
      </c>
      <c r="AV51" s="60">
        <f>(AU51/AP51*100)</f>
        <v>43.820999999999998</v>
      </c>
      <c r="AW51" s="356">
        <v>100000</v>
      </c>
      <c r="AX51" s="443">
        <f t="shared" si="22"/>
        <v>108000</v>
      </c>
      <c r="AY51" s="124">
        <f t="shared" si="9"/>
        <v>108000</v>
      </c>
      <c r="AZ51" s="443">
        <v>100000</v>
      </c>
      <c r="BA51" s="443">
        <v>100000</v>
      </c>
      <c r="BB51" s="60">
        <v>100000</v>
      </c>
      <c r="BC51" s="60">
        <v>100000</v>
      </c>
      <c r="BD51" s="60">
        <v>40000</v>
      </c>
      <c r="BE51" s="60">
        <v>40000</v>
      </c>
      <c r="BF51" s="60">
        <v>40000</v>
      </c>
      <c r="BG51" s="329">
        <f t="shared" si="23"/>
        <v>43636.36363636364</v>
      </c>
      <c r="BH51" s="217"/>
      <c r="BI51" s="217">
        <v>50000</v>
      </c>
      <c r="BJ51" s="60">
        <v>5670</v>
      </c>
      <c r="BK51" s="60">
        <v>5670</v>
      </c>
      <c r="BL51" s="60">
        <v>50000</v>
      </c>
      <c r="BM51" s="60">
        <f>BL51*1.16</f>
        <v>57999.999999999993</v>
      </c>
      <c r="BN51" s="60">
        <v>58000</v>
      </c>
      <c r="BO51" s="60">
        <v>0</v>
      </c>
      <c r="BP51" s="60">
        <f t="shared" si="25"/>
        <v>0</v>
      </c>
      <c r="BQ51" s="124">
        <f t="shared" si="26"/>
        <v>0</v>
      </c>
      <c r="BR51" s="60"/>
      <c r="BS51" s="60"/>
      <c r="BT51" s="217"/>
      <c r="BU51" s="678"/>
      <c r="BV51" s="808"/>
      <c r="BW51" s="809"/>
      <c r="BX51"/>
      <c r="BY51"/>
      <c r="BZ51"/>
      <c r="CA51" s="748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</row>
    <row r="52" spans="1:101" s="39" customFormat="1" x14ac:dyDescent="0.25">
      <c r="A52" s="54" t="s">
        <v>39</v>
      </c>
      <c r="B52" s="59" t="s">
        <v>148</v>
      </c>
      <c r="C52" s="60">
        <v>2389921</v>
      </c>
      <c r="D52" s="60">
        <v>2450116.69</v>
      </c>
      <c r="E52" s="60">
        <v>2551899</v>
      </c>
      <c r="F52" s="60">
        <v>2113210</v>
      </c>
      <c r="G52" s="60">
        <v>2551899</v>
      </c>
      <c r="H52" s="60">
        <v>2334440</v>
      </c>
      <c r="I52" s="60">
        <v>2639402</v>
      </c>
      <c r="J52" s="60">
        <v>2835275</v>
      </c>
      <c r="K52" s="60">
        <v>2835275.42</v>
      </c>
      <c r="L52" s="60" t="e">
        <f>2835275-348456+#REF!</f>
        <v>#REF!</v>
      </c>
      <c r="M52" s="38" t="e">
        <f t="shared" si="2"/>
        <v>#REF!</v>
      </c>
      <c r="N52" s="60">
        <v>2835275</v>
      </c>
      <c r="O52" s="60">
        <v>2072318</v>
      </c>
      <c r="P52" s="60">
        <v>2309962</v>
      </c>
      <c r="Q52" s="60">
        <v>2950325</v>
      </c>
      <c r="R52" s="60">
        <v>3152657</v>
      </c>
      <c r="S52" s="60">
        <v>3152657</v>
      </c>
      <c r="T52" s="60">
        <v>3265054</v>
      </c>
      <c r="U52" s="124">
        <f t="shared" si="3"/>
        <v>3265054</v>
      </c>
      <c r="V52" s="124">
        <f t="shared" si="4"/>
        <v>3265054</v>
      </c>
      <c r="W52" s="123">
        <f t="shared" si="11"/>
        <v>0.96557576076842833</v>
      </c>
      <c r="Y52" s="273">
        <f t="shared" si="5"/>
        <v>1.0356515155311852</v>
      </c>
      <c r="Z52" s="124">
        <f t="shared" si="6"/>
        <v>3265054</v>
      </c>
      <c r="AA52" s="60">
        <v>1558941</v>
      </c>
      <c r="AB52" s="217">
        <v>2196509</v>
      </c>
      <c r="AC52" s="60"/>
      <c r="AD52" s="123">
        <f t="shared" si="20"/>
        <v>0</v>
      </c>
      <c r="AE52" s="123"/>
      <c r="AF52" s="60">
        <v>3494512</v>
      </c>
      <c r="AG52" s="217">
        <v>2729908</v>
      </c>
      <c r="AH52" s="124">
        <f t="shared" si="21"/>
        <v>3275889.5999999996</v>
      </c>
      <c r="AI52" s="260">
        <f t="shared" si="0"/>
        <v>3341407.3919999995</v>
      </c>
      <c r="AJ52" s="60">
        <f>Z52*1.08+120000</f>
        <v>3646258.3200000003</v>
      </c>
      <c r="AK52" s="124">
        <f t="shared" si="7"/>
        <v>3646258.3200000003</v>
      </c>
      <c r="AM52" s="350">
        <v>3305716</v>
      </c>
      <c r="AN52" s="350"/>
      <c r="AO52" s="356"/>
      <c r="AP52" s="60">
        <v>3879271</v>
      </c>
      <c r="AQ52" s="217">
        <v>2450677</v>
      </c>
      <c r="AR52" s="60">
        <f t="shared" si="8"/>
        <v>1428594</v>
      </c>
      <c r="AS52" s="59">
        <f t="shared" si="12"/>
        <v>63.173647832286015</v>
      </c>
      <c r="AT52" s="60">
        <v>2659964</v>
      </c>
      <c r="AU52" s="60">
        <f t="shared" si="14"/>
        <v>1219307</v>
      </c>
      <c r="AV52" s="60">
        <f>(AU52/AP52*100)</f>
        <v>31.431343672561159</v>
      </c>
      <c r="AW52" s="356">
        <v>3879271</v>
      </c>
      <c r="AX52" s="350">
        <v>3879271</v>
      </c>
      <c r="AY52" s="124">
        <f t="shared" si="9"/>
        <v>3879271</v>
      </c>
      <c r="AZ52" s="465">
        <v>3052762</v>
      </c>
      <c r="BA52" s="465">
        <v>3148063</v>
      </c>
      <c r="BB52" s="60">
        <v>3052762</v>
      </c>
      <c r="BC52" s="60">
        <v>3052762</v>
      </c>
      <c r="BD52" s="60">
        <v>3052762</v>
      </c>
      <c r="BE52" s="60">
        <v>2143373</v>
      </c>
      <c r="BF52" s="60">
        <v>2312342</v>
      </c>
      <c r="BG52" s="329">
        <f t="shared" si="23"/>
        <v>2522554.9090909092</v>
      </c>
      <c r="BH52" s="217">
        <v>3305600</v>
      </c>
      <c r="BI52" s="217">
        <v>3305600</v>
      </c>
      <c r="BJ52" s="60">
        <v>1530128</v>
      </c>
      <c r="BK52" s="60">
        <v>2354515</v>
      </c>
      <c r="BL52" s="60">
        <v>3305600</v>
      </c>
      <c r="BM52" s="60">
        <f>SUM(BM39:BM51)*0.13+201500</f>
        <v>4123087.0824000002</v>
      </c>
      <c r="BN52" s="60">
        <v>4123087</v>
      </c>
      <c r="BO52" s="60">
        <v>2514558</v>
      </c>
      <c r="BP52" s="60">
        <f t="shared" si="25"/>
        <v>3017469.5999999996</v>
      </c>
      <c r="BQ52" s="124">
        <f t="shared" si="26"/>
        <v>3319216.56</v>
      </c>
      <c r="BR52" s="60">
        <v>3571142</v>
      </c>
      <c r="BS52" s="60">
        <v>3571142</v>
      </c>
      <c r="BT52" s="217">
        <v>3571142</v>
      </c>
      <c r="BU52" s="678">
        <v>4750000</v>
      </c>
      <c r="BV52" s="808">
        <v>4236624</v>
      </c>
      <c r="BW52" s="809"/>
      <c r="BX52"/>
      <c r="BY52"/>
      <c r="BZ52"/>
      <c r="CA52" s="748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</row>
    <row r="53" spans="1:101" s="39" customFormat="1" x14ac:dyDescent="0.25">
      <c r="A53" s="54" t="s">
        <v>40</v>
      </c>
      <c r="B53" s="59" t="s">
        <v>149</v>
      </c>
      <c r="C53" s="60">
        <v>92210</v>
      </c>
      <c r="D53" s="60">
        <v>82659</v>
      </c>
      <c r="E53" s="60">
        <v>81847</v>
      </c>
      <c r="F53" s="60">
        <v>109487</v>
      </c>
      <c r="G53" s="60">
        <v>81847</v>
      </c>
      <c r="H53" s="60">
        <v>115560</v>
      </c>
      <c r="I53" s="60">
        <v>121633</v>
      </c>
      <c r="J53" s="60">
        <v>110770</v>
      </c>
      <c r="K53" s="60">
        <v>110770</v>
      </c>
      <c r="L53" s="60">
        <v>110770</v>
      </c>
      <c r="M53" s="38">
        <f t="shared" si="2"/>
        <v>91.069035541341577</v>
      </c>
      <c r="N53" s="60">
        <v>110770</v>
      </c>
      <c r="O53" s="60">
        <v>88473</v>
      </c>
      <c r="P53" s="60">
        <v>97135</v>
      </c>
      <c r="Q53" s="60">
        <v>110770</v>
      </c>
      <c r="R53" s="60"/>
      <c r="S53" s="60"/>
      <c r="T53" s="60">
        <v>110770</v>
      </c>
      <c r="U53" s="124">
        <f t="shared" si="3"/>
        <v>110770</v>
      </c>
      <c r="V53" s="124">
        <f t="shared" si="4"/>
        <v>110770</v>
      </c>
      <c r="W53" s="123">
        <f t="shared" si="11"/>
        <v>0</v>
      </c>
      <c r="Y53" s="273" t="e">
        <f t="shared" si="5"/>
        <v>#DIV/0!</v>
      </c>
      <c r="Z53" s="124">
        <f t="shared" si="6"/>
        <v>110770</v>
      </c>
      <c r="AA53" s="60">
        <v>6018</v>
      </c>
      <c r="AB53" s="217">
        <v>6018</v>
      </c>
      <c r="AC53" s="60"/>
      <c r="AD53" s="123">
        <f t="shared" si="20"/>
        <v>0</v>
      </c>
      <c r="AE53" s="123"/>
      <c r="AF53" s="60"/>
      <c r="AG53" s="217">
        <v>6018</v>
      </c>
      <c r="AH53" s="124">
        <f t="shared" si="21"/>
        <v>7221.5999999999995</v>
      </c>
      <c r="AI53" s="260">
        <f t="shared" si="0"/>
        <v>7366.0319999999992</v>
      </c>
      <c r="AJ53" s="60">
        <f>110770*1.08</f>
        <v>119631.6</v>
      </c>
      <c r="AK53" s="124">
        <v>125469</v>
      </c>
      <c r="AL53" s="329"/>
      <c r="AM53" s="350">
        <v>6018</v>
      </c>
      <c r="AN53" s="350"/>
      <c r="AO53" s="356"/>
      <c r="AP53" s="60"/>
      <c r="AQ53" s="217"/>
      <c r="AR53" s="60">
        <f t="shared" si="8"/>
        <v>0</v>
      </c>
      <c r="AS53" s="59"/>
      <c r="AT53" s="60"/>
      <c r="AU53" s="60"/>
      <c r="AV53" s="60"/>
      <c r="AW53" s="356"/>
      <c r="AX53" s="443"/>
      <c r="AY53" s="124">
        <f t="shared" si="9"/>
        <v>0</v>
      </c>
      <c r="AZ53" s="443"/>
      <c r="BA53" s="443"/>
      <c r="BB53" s="60"/>
      <c r="BC53" s="60"/>
      <c r="BD53" s="60"/>
      <c r="BE53" s="60"/>
      <c r="BF53" s="60"/>
      <c r="BG53" s="329">
        <f t="shared" si="23"/>
        <v>0</v>
      </c>
      <c r="BH53" s="217">
        <f t="shared" ref="BH53:BH55" si="28">BC53</f>
        <v>0</v>
      </c>
      <c r="BI53" s="217"/>
      <c r="BJ53" s="60"/>
      <c r="BK53" s="60"/>
      <c r="BL53" s="60"/>
      <c r="BM53" s="60">
        <f t="shared" si="24"/>
        <v>0</v>
      </c>
      <c r="BN53" s="60"/>
      <c r="BO53" s="60"/>
      <c r="BP53" s="60"/>
      <c r="BQ53" s="124"/>
      <c r="BR53" s="60"/>
      <c r="BS53" s="60"/>
      <c r="BT53" s="217"/>
      <c r="BU53" s="678"/>
      <c r="BV53" s="808"/>
      <c r="BW53" s="809"/>
      <c r="BX53"/>
      <c r="BY53"/>
      <c r="BZ53"/>
      <c r="CA53" s="748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</row>
    <row r="54" spans="1:101" s="39" customFormat="1" x14ac:dyDescent="0.25">
      <c r="A54" s="54" t="s">
        <v>41</v>
      </c>
      <c r="B54" s="59" t="s">
        <v>150</v>
      </c>
      <c r="C54" s="60">
        <v>0</v>
      </c>
      <c r="D54" s="60">
        <v>0</v>
      </c>
      <c r="E54" s="60">
        <v>0</v>
      </c>
      <c r="F54" s="60">
        <v>12040</v>
      </c>
      <c r="G54" s="60">
        <v>0</v>
      </c>
      <c r="H54" s="60">
        <v>12040</v>
      </c>
      <c r="I54" s="60">
        <v>12040</v>
      </c>
      <c r="J54" s="60">
        <v>0</v>
      </c>
      <c r="K54" s="60">
        <v>0</v>
      </c>
      <c r="L54" s="60">
        <v>0</v>
      </c>
      <c r="M54" s="38">
        <f t="shared" si="2"/>
        <v>0</v>
      </c>
      <c r="N54" s="60"/>
      <c r="O54" s="60">
        <v>20810</v>
      </c>
      <c r="P54" s="60">
        <v>201810</v>
      </c>
      <c r="Q54" s="60"/>
      <c r="R54" s="60"/>
      <c r="S54" s="60"/>
      <c r="T54" s="60"/>
      <c r="U54" s="124">
        <f t="shared" si="3"/>
        <v>0</v>
      </c>
      <c r="V54" s="124">
        <f t="shared" si="4"/>
        <v>0</v>
      </c>
      <c r="W54" s="123"/>
      <c r="Y54" s="273" t="e">
        <f t="shared" si="5"/>
        <v>#DIV/0!</v>
      </c>
      <c r="Z54" s="124">
        <f t="shared" si="6"/>
        <v>0</v>
      </c>
      <c r="AA54" s="60"/>
      <c r="AB54" s="217"/>
      <c r="AC54" s="60"/>
      <c r="AD54" s="123"/>
      <c r="AE54" s="123"/>
      <c r="AF54" s="60"/>
      <c r="AG54" s="217"/>
      <c r="AH54" s="124">
        <f t="shared" si="21"/>
        <v>0</v>
      </c>
      <c r="AI54" s="260">
        <f t="shared" si="0"/>
        <v>0</v>
      </c>
      <c r="AJ54" s="60"/>
      <c r="AK54" s="124">
        <f t="shared" si="7"/>
        <v>0</v>
      </c>
      <c r="AM54" s="350"/>
      <c r="AN54" s="350"/>
      <c r="AO54" s="356"/>
      <c r="AP54" s="60"/>
      <c r="AQ54" s="217"/>
      <c r="AR54" s="60">
        <f t="shared" si="8"/>
        <v>0</v>
      </c>
      <c r="AS54" s="59"/>
      <c r="AT54" s="60"/>
      <c r="AU54" s="60"/>
      <c r="AV54" s="60"/>
      <c r="AW54" s="356"/>
      <c r="AX54" s="443"/>
      <c r="AY54" s="124">
        <f t="shared" si="9"/>
        <v>0</v>
      </c>
      <c r="AZ54" s="443"/>
      <c r="BA54" s="443"/>
      <c r="BB54" s="60"/>
      <c r="BC54" s="60"/>
      <c r="BD54" s="60"/>
      <c r="BE54" s="60"/>
      <c r="BF54" s="60"/>
      <c r="BG54" s="329">
        <f t="shared" si="23"/>
        <v>0</v>
      </c>
      <c r="BH54" s="217">
        <f t="shared" si="28"/>
        <v>0</v>
      </c>
      <c r="BI54" s="217"/>
      <c r="BJ54" s="60"/>
      <c r="BK54" s="60"/>
      <c r="BL54" s="60"/>
      <c r="BM54" s="60">
        <f t="shared" si="24"/>
        <v>0</v>
      </c>
      <c r="BN54" s="60"/>
      <c r="BO54" s="60"/>
      <c r="BP54" s="60"/>
      <c r="BQ54" s="124"/>
      <c r="BR54" s="60"/>
      <c r="BS54" s="60"/>
      <c r="BT54" s="217"/>
      <c r="BU54" s="678"/>
      <c r="BV54" s="808"/>
      <c r="BW54" s="809"/>
      <c r="BX54"/>
      <c r="BY54"/>
      <c r="BZ54"/>
      <c r="CA54" s="748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</row>
    <row r="55" spans="1:101" s="39" customFormat="1" x14ac:dyDescent="0.25">
      <c r="A55" s="54" t="s">
        <v>42</v>
      </c>
      <c r="B55" s="59" t="s">
        <v>151</v>
      </c>
      <c r="C55" s="60">
        <v>105233</v>
      </c>
      <c r="D55" s="60">
        <v>87237</v>
      </c>
      <c r="E55" s="60">
        <v>93540</v>
      </c>
      <c r="F55" s="60">
        <v>104284</v>
      </c>
      <c r="G55" s="60">
        <v>93540</v>
      </c>
      <c r="H55" s="60">
        <v>110789</v>
      </c>
      <c r="I55" s="60">
        <v>117294</v>
      </c>
      <c r="J55" s="60">
        <v>118688</v>
      </c>
      <c r="K55" s="60">
        <v>118688</v>
      </c>
      <c r="L55" s="60">
        <v>118688</v>
      </c>
      <c r="M55" s="38">
        <f t="shared" si="2"/>
        <v>101.18846658823128</v>
      </c>
      <c r="N55" s="60">
        <v>118688</v>
      </c>
      <c r="O55" s="60">
        <v>90527</v>
      </c>
      <c r="P55" s="60">
        <v>99805</v>
      </c>
      <c r="Q55" s="60">
        <v>118688</v>
      </c>
      <c r="R55" s="60"/>
      <c r="S55" s="60"/>
      <c r="T55" s="60">
        <v>118688</v>
      </c>
      <c r="U55" s="124">
        <f t="shared" si="3"/>
        <v>118688</v>
      </c>
      <c r="V55" s="124">
        <f t="shared" si="4"/>
        <v>118688</v>
      </c>
      <c r="W55" s="123">
        <f t="shared" si="11"/>
        <v>0</v>
      </c>
      <c r="Y55" s="273" t="e">
        <f t="shared" si="5"/>
        <v>#DIV/0!</v>
      </c>
      <c r="Z55" s="124">
        <f t="shared" si="6"/>
        <v>118688</v>
      </c>
      <c r="AA55" s="60">
        <v>33860</v>
      </c>
      <c r="AB55" s="217">
        <v>33860</v>
      </c>
      <c r="AC55" s="60"/>
      <c r="AD55" s="123">
        <f t="shared" si="20"/>
        <v>0</v>
      </c>
      <c r="AE55" s="123"/>
      <c r="AF55" s="60"/>
      <c r="AG55" s="217">
        <v>33860</v>
      </c>
      <c r="AH55" s="124">
        <f t="shared" si="21"/>
        <v>40632</v>
      </c>
      <c r="AI55" s="260">
        <f t="shared" si="0"/>
        <v>41444.639999999999</v>
      </c>
      <c r="AJ55" s="60">
        <f>Z55*1.08</f>
        <v>128183.04000000001</v>
      </c>
      <c r="AK55" s="124">
        <v>107544</v>
      </c>
      <c r="AL55" s="329"/>
      <c r="AM55" s="350">
        <v>33860</v>
      </c>
      <c r="AN55" s="350"/>
      <c r="AO55" s="356"/>
      <c r="AP55" s="60"/>
      <c r="AQ55" s="217"/>
      <c r="AR55" s="60">
        <f t="shared" si="8"/>
        <v>0</v>
      </c>
      <c r="AS55" s="59"/>
      <c r="AT55" s="60">
        <v>35797</v>
      </c>
      <c r="AU55" s="60">
        <f t="shared" ref="AU55:AU66" si="29">AP55-AT55</f>
        <v>-35797</v>
      </c>
      <c r="AV55" s="60"/>
      <c r="AW55" s="356"/>
      <c r="AX55" s="443"/>
      <c r="AY55" s="124">
        <f t="shared" si="9"/>
        <v>0</v>
      </c>
      <c r="AZ55" s="443"/>
      <c r="BA55" s="443"/>
      <c r="BB55" s="511"/>
      <c r="BC55" s="511"/>
      <c r="BD55" s="511"/>
      <c r="BE55" s="511"/>
      <c r="BF55" s="511"/>
      <c r="BG55" s="329">
        <f t="shared" si="23"/>
        <v>0</v>
      </c>
      <c r="BH55" s="217">
        <f t="shared" si="28"/>
        <v>0</v>
      </c>
      <c r="BI55" s="217"/>
      <c r="BJ55" s="60"/>
      <c r="BK55" s="60"/>
      <c r="BL55" s="60"/>
      <c r="BM55" s="60">
        <f t="shared" si="24"/>
        <v>0</v>
      </c>
      <c r="BN55" s="60"/>
      <c r="BO55" s="60"/>
      <c r="BP55" s="60"/>
      <c r="BQ55" s="124"/>
      <c r="BR55" s="60"/>
      <c r="BS55" s="60"/>
      <c r="BT55" s="217"/>
      <c r="BU55" s="678"/>
      <c r="BV55" s="808"/>
      <c r="BW55" s="809"/>
      <c r="BX55"/>
      <c r="BY55"/>
      <c r="BZ55"/>
      <c r="CA55" s="748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</row>
    <row r="56" spans="1:101" x14ac:dyDescent="0.25">
      <c r="A56" s="54" t="s">
        <v>139</v>
      </c>
      <c r="B56" s="446" t="s">
        <v>230</v>
      </c>
      <c r="C56" s="55">
        <v>500000</v>
      </c>
      <c r="D56" s="55">
        <v>497607</v>
      </c>
      <c r="E56" s="55">
        <v>600000</v>
      </c>
      <c r="F56" s="65">
        <v>136806</v>
      </c>
      <c r="G56" s="65">
        <v>166856</v>
      </c>
      <c r="H56" s="65">
        <v>136806</v>
      </c>
      <c r="I56" s="65">
        <f t="shared" si="1"/>
        <v>149242.90909090909</v>
      </c>
      <c r="J56" s="55">
        <v>1770000</v>
      </c>
      <c r="K56" s="55">
        <v>800000</v>
      </c>
      <c r="L56" s="66">
        <v>800000</v>
      </c>
      <c r="M56" s="1">
        <f t="shared" si="2"/>
        <v>536.03886769098824</v>
      </c>
      <c r="N56" s="55">
        <v>750000</v>
      </c>
      <c r="O56" s="55">
        <v>365049</v>
      </c>
      <c r="P56" s="55">
        <v>365049</v>
      </c>
      <c r="Q56" s="55">
        <v>800000</v>
      </c>
      <c r="R56" s="55">
        <v>800000</v>
      </c>
      <c r="S56" s="55">
        <v>657009</v>
      </c>
      <c r="T56" s="55">
        <v>800000</v>
      </c>
      <c r="U56" s="69">
        <f t="shared" si="3"/>
        <v>800000</v>
      </c>
      <c r="V56" s="69">
        <f t="shared" si="4"/>
        <v>800000</v>
      </c>
      <c r="W56" s="122">
        <f t="shared" si="11"/>
        <v>0.82126125000000005</v>
      </c>
      <c r="Y56" s="207">
        <f t="shared" si="5"/>
        <v>1.2176393321857082</v>
      </c>
      <c r="Z56" s="69">
        <f t="shared" si="6"/>
        <v>800000</v>
      </c>
      <c r="AA56" s="65">
        <v>44417</v>
      </c>
      <c r="AB56" s="222">
        <v>474736</v>
      </c>
      <c r="AC56" s="65">
        <v>566264</v>
      </c>
      <c r="AD56" s="122">
        <f t="shared" si="20"/>
        <v>70.783000000000001</v>
      </c>
      <c r="AE56" s="122"/>
      <c r="AF56" s="55">
        <v>951000</v>
      </c>
      <c r="AG56" s="222">
        <v>722272</v>
      </c>
      <c r="AH56" s="69">
        <f>AG56/10*12</f>
        <v>866726.39999999991</v>
      </c>
      <c r="AI56" s="258">
        <f>AH56*1.02</f>
        <v>884060.92799999996</v>
      </c>
      <c r="AJ56" s="230">
        <v>800000</v>
      </c>
      <c r="AK56" s="69">
        <f t="shared" si="7"/>
        <v>800000</v>
      </c>
      <c r="AM56" s="349">
        <v>919905</v>
      </c>
      <c r="AN56" s="349">
        <v>800000</v>
      </c>
      <c r="AO56" s="354">
        <v>698005</v>
      </c>
      <c r="AP56" s="65">
        <v>800000</v>
      </c>
      <c r="AQ56" s="222">
        <v>698005</v>
      </c>
      <c r="AR56" s="65">
        <f t="shared" si="8"/>
        <v>101995</v>
      </c>
      <c r="AS56" s="54">
        <f t="shared" si="12"/>
        <v>87.250624999999999</v>
      </c>
      <c r="AT56" s="65">
        <v>887979</v>
      </c>
      <c r="AU56" s="55">
        <f t="shared" si="29"/>
        <v>-87979</v>
      </c>
      <c r="AV56" s="55">
        <f>(AU56/AP56*100)</f>
        <v>-10.997375</v>
      </c>
      <c r="AW56" s="367">
        <v>800000</v>
      </c>
      <c r="AX56" s="349">
        <v>800000</v>
      </c>
      <c r="AY56" s="69">
        <f t="shared" si="9"/>
        <v>800000</v>
      </c>
      <c r="AZ56" s="55">
        <f t="shared" ref="AZ56:AZ57" si="30">AY56</f>
        <v>800000</v>
      </c>
      <c r="BA56" s="67">
        <f t="shared" ref="BA56:BA57" si="31">AZ56</f>
        <v>800000</v>
      </c>
      <c r="BB56" s="501">
        <v>800000</v>
      </c>
      <c r="BC56" s="501">
        <v>800000</v>
      </c>
      <c r="BD56" s="501">
        <v>541580</v>
      </c>
      <c r="BE56" s="501">
        <v>656233</v>
      </c>
      <c r="BF56" s="221">
        <v>753851</v>
      </c>
      <c r="BG56" s="515">
        <f t="shared" si="13"/>
        <v>904621.20000000007</v>
      </c>
      <c r="BH56" s="569">
        <v>800000</v>
      </c>
      <c r="BI56" s="222">
        <v>800000</v>
      </c>
      <c r="BJ56" s="55">
        <v>699112</v>
      </c>
      <c r="BK56" s="65">
        <v>915824</v>
      </c>
      <c r="BL56" s="69">
        <f t="shared" si="10"/>
        <v>1098988.7999999998</v>
      </c>
      <c r="BM56" s="55">
        <v>1000000</v>
      </c>
      <c r="BN56" s="55">
        <v>1000000</v>
      </c>
      <c r="BO56" s="55">
        <v>1360613</v>
      </c>
      <c r="BP56" s="55">
        <f>BO56/10*12</f>
        <v>1632735.5999999999</v>
      </c>
      <c r="BQ56" s="69">
        <f>BP56*1.1</f>
        <v>1796009.16</v>
      </c>
      <c r="BR56" s="55">
        <v>1200000</v>
      </c>
      <c r="BS56" s="55">
        <v>1200000</v>
      </c>
      <c r="BT56" s="223">
        <v>1200000</v>
      </c>
      <c r="BU56" s="353">
        <v>1600000</v>
      </c>
      <c r="BV56" s="353">
        <v>4415000</v>
      </c>
      <c r="BW56" s="810">
        <v>1751058</v>
      </c>
    </row>
    <row r="57" spans="1:101" x14ac:dyDescent="0.25">
      <c r="A57" s="54" t="s">
        <v>43</v>
      </c>
      <c r="B57" s="446" t="s">
        <v>152</v>
      </c>
      <c r="C57" s="55">
        <v>1500000</v>
      </c>
      <c r="D57" s="55">
        <v>1402004</v>
      </c>
      <c r="E57" s="55">
        <v>1660000</v>
      </c>
      <c r="F57" s="65">
        <v>1028937</v>
      </c>
      <c r="G57" s="65">
        <v>1296324</v>
      </c>
      <c r="H57" s="65">
        <v>1132284</v>
      </c>
      <c r="I57" s="65">
        <f t="shared" si="1"/>
        <v>1235218.9090909092</v>
      </c>
      <c r="J57" s="55">
        <v>1779658.1196581197</v>
      </c>
      <c r="K57" s="55">
        <v>1779658.1196581197</v>
      </c>
      <c r="L57" s="65">
        <v>1779658.1196581197</v>
      </c>
      <c r="M57" s="1">
        <f t="shared" si="2"/>
        <v>144.076333883838</v>
      </c>
      <c r="N57" s="55">
        <v>1779658</v>
      </c>
      <c r="O57" s="55">
        <v>1326836</v>
      </c>
      <c r="P57" s="55">
        <v>1414758</v>
      </c>
      <c r="Q57" s="55">
        <v>1780000</v>
      </c>
      <c r="R57" s="55">
        <v>1769658</v>
      </c>
      <c r="S57" s="55">
        <v>1553472</v>
      </c>
      <c r="T57" s="55">
        <v>1780000</v>
      </c>
      <c r="U57" s="69">
        <f t="shared" si="3"/>
        <v>1780000</v>
      </c>
      <c r="V57" s="69">
        <f t="shared" si="4"/>
        <v>1780000</v>
      </c>
      <c r="W57" s="122">
        <f t="shared" si="11"/>
        <v>0.87273707865168537</v>
      </c>
      <c r="Y57" s="207">
        <f t="shared" si="5"/>
        <v>1.1458204589461543</v>
      </c>
      <c r="Z57" s="69">
        <f t="shared" si="6"/>
        <v>1780000</v>
      </c>
      <c r="AA57" s="65">
        <v>879813</v>
      </c>
      <c r="AB57" s="222">
        <v>1235175</v>
      </c>
      <c r="AC57" s="65">
        <v>1439569</v>
      </c>
      <c r="AD57" s="122">
        <f t="shared" si="20"/>
        <v>80.874662921348317</v>
      </c>
      <c r="AE57" s="122"/>
      <c r="AF57" s="55">
        <v>2030000</v>
      </c>
      <c r="AG57" s="222">
        <v>1586280</v>
      </c>
      <c r="AH57" s="69">
        <f t="shared" ref="AH57:AH101" si="32">AG57/10*12</f>
        <v>1903536</v>
      </c>
      <c r="AI57" s="258">
        <f t="shared" ref="AI57:AI101" si="33">AH57*1.02</f>
        <v>1941606.72</v>
      </c>
      <c r="AJ57" s="230">
        <v>2000000</v>
      </c>
      <c r="AK57" s="69">
        <f t="shared" si="7"/>
        <v>2000000</v>
      </c>
      <c r="AM57" s="349">
        <v>1755552</v>
      </c>
      <c r="AN57" s="349">
        <v>2000000</v>
      </c>
      <c r="AO57" s="354">
        <v>797848</v>
      </c>
      <c r="AP57" s="65">
        <v>2300000</v>
      </c>
      <c r="AQ57" s="222">
        <v>1862898</v>
      </c>
      <c r="AR57" s="65">
        <f t="shared" si="8"/>
        <v>437102</v>
      </c>
      <c r="AS57" s="54">
        <f t="shared" si="12"/>
        <v>80.995565217391302</v>
      </c>
      <c r="AT57" s="65">
        <v>2028197</v>
      </c>
      <c r="AU57" s="55">
        <f t="shared" si="29"/>
        <v>271803</v>
      </c>
      <c r="AV57" s="55">
        <f>(AU57/AP57*100)</f>
        <v>11.817521739130434</v>
      </c>
      <c r="AW57" s="367">
        <v>2000000</v>
      </c>
      <c r="AX57" s="349">
        <v>2000000</v>
      </c>
      <c r="AY57" s="69">
        <f t="shared" si="9"/>
        <v>2000000</v>
      </c>
      <c r="AZ57" s="55">
        <f t="shared" si="30"/>
        <v>2000000</v>
      </c>
      <c r="BA57" s="67">
        <f t="shared" si="31"/>
        <v>2000000</v>
      </c>
      <c r="BB57" s="501">
        <v>2000000</v>
      </c>
      <c r="BC57" s="501">
        <v>2000000</v>
      </c>
      <c r="BD57" s="501">
        <v>1436977</v>
      </c>
      <c r="BE57" s="501">
        <v>1811480</v>
      </c>
      <c r="BF57" s="221">
        <v>1991709</v>
      </c>
      <c r="BG57" s="515">
        <f t="shared" si="13"/>
        <v>2390050.7999999998</v>
      </c>
      <c r="BH57" s="569">
        <v>2000000</v>
      </c>
      <c r="BI57" s="222">
        <v>2230000</v>
      </c>
      <c r="BJ57" s="55">
        <v>1467335</v>
      </c>
      <c r="BK57" s="65">
        <v>2580977</v>
      </c>
      <c r="BL57" s="69">
        <f t="shared" si="10"/>
        <v>3097172.4000000004</v>
      </c>
      <c r="BM57" s="55">
        <v>5500000</v>
      </c>
      <c r="BN57" s="55">
        <v>5500000</v>
      </c>
      <c r="BO57" s="55">
        <v>1333195</v>
      </c>
      <c r="BP57" s="55">
        <f t="shared" ref="BP57:BP83" si="34">BO57/10*12</f>
        <v>1599834</v>
      </c>
      <c r="BQ57" s="69">
        <f t="shared" ref="BQ57:BQ101" si="35">BP57*1.1</f>
        <v>1759817.4000000001</v>
      </c>
      <c r="BR57" s="55">
        <v>1800000</v>
      </c>
      <c r="BS57" s="55">
        <v>1800000</v>
      </c>
      <c r="BT57" s="223">
        <v>1800000</v>
      </c>
      <c r="BU57" s="353">
        <v>2100000</v>
      </c>
      <c r="BV57" s="353">
        <v>5551000</v>
      </c>
      <c r="BW57" s="810">
        <v>2975670</v>
      </c>
    </row>
    <row r="58" spans="1:101" x14ac:dyDescent="0.25">
      <c r="A58" s="54" t="s">
        <v>243</v>
      </c>
      <c r="B58" s="446" t="s">
        <v>244</v>
      </c>
      <c r="C58" s="55"/>
      <c r="D58" s="55"/>
      <c r="E58" s="55"/>
      <c r="F58" s="65"/>
      <c r="G58" s="65"/>
      <c r="H58" s="65"/>
      <c r="I58" s="65">
        <f t="shared" si="1"/>
        <v>0</v>
      </c>
      <c r="J58" s="55"/>
      <c r="K58" s="55"/>
      <c r="L58" s="65"/>
      <c r="M58" s="1">
        <f t="shared" si="2"/>
        <v>0</v>
      </c>
      <c r="N58" s="55"/>
      <c r="O58" s="55"/>
      <c r="P58" s="55"/>
      <c r="Q58" s="55"/>
      <c r="R58" s="55"/>
      <c r="S58" s="55"/>
      <c r="T58" s="55"/>
      <c r="U58" s="69">
        <f t="shared" si="3"/>
        <v>0</v>
      </c>
      <c r="V58" s="69">
        <f t="shared" si="4"/>
        <v>0</v>
      </c>
      <c r="W58" s="122"/>
      <c r="Y58" s="207" t="e">
        <f t="shared" si="5"/>
        <v>#DIV/0!</v>
      </c>
      <c r="Z58" s="69">
        <f t="shared" si="6"/>
        <v>0</v>
      </c>
      <c r="AA58" s="55"/>
      <c r="AB58" s="223"/>
      <c r="AC58" s="55"/>
      <c r="AD58" s="122"/>
      <c r="AE58" s="122"/>
      <c r="AG58" s="222"/>
      <c r="AH58" s="69">
        <f t="shared" si="32"/>
        <v>0</v>
      </c>
      <c r="AI58" s="258">
        <f t="shared" si="33"/>
        <v>0</v>
      </c>
      <c r="AK58" s="69">
        <f t="shared" si="7"/>
        <v>0</v>
      </c>
      <c r="AM58" s="349"/>
      <c r="AN58" s="349"/>
      <c r="AO58" s="354"/>
      <c r="AP58" s="65">
        <v>0</v>
      </c>
      <c r="AQ58" s="222">
        <v>0</v>
      </c>
      <c r="AR58" s="65">
        <f t="shared" si="8"/>
        <v>0</v>
      </c>
      <c r="AS58" s="54"/>
      <c r="AT58" s="65">
        <v>0</v>
      </c>
      <c r="AU58" s="55">
        <f t="shared" si="29"/>
        <v>0</v>
      </c>
      <c r="AV58" s="55"/>
      <c r="AW58" s="367"/>
      <c r="AX58" s="349"/>
      <c r="AY58" s="69">
        <f t="shared" si="9"/>
        <v>0</v>
      </c>
      <c r="AZ58" s="424"/>
      <c r="BA58" s="424"/>
      <c r="BB58" s="501"/>
      <c r="BE58" s="501"/>
      <c r="BF58" s="221"/>
      <c r="BG58" s="515">
        <f t="shared" si="13"/>
        <v>0</v>
      </c>
      <c r="BH58" s="569"/>
      <c r="BI58" s="222"/>
      <c r="BJ58" s="55"/>
      <c r="BK58" s="65"/>
      <c r="BL58" s="69">
        <f t="shared" si="10"/>
        <v>0</v>
      </c>
      <c r="BM58" s="55"/>
      <c r="BN58" s="55"/>
      <c r="BO58" s="55"/>
      <c r="BP58" s="55">
        <f t="shared" si="34"/>
        <v>0</v>
      </c>
      <c r="BQ58" s="69">
        <f t="shared" si="35"/>
        <v>0</v>
      </c>
      <c r="BR58" s="55"/>
      <c r="BS58" s="55"/>
      <c r="BT58" s="223"/>
      <c r="BU58" s="353"/>
      <c r="BV58" s="353"/>
      <c r="BW58" s="809"/>
    </row>
    <row r="59" spans="1:101" x14ac:dyDescent="0.25">
      <c r="A59" s="54" t="s">
        <v>44</v>
      </c>
      <c r="B59" s="446" t="s">
        <v>153</v>
      </c>
      <c r="C59" s="55">
        <v>115000</v>
      </c>
      <c r="D59" s="55">
        <v>69589</v>
      </c>
      <c r="E59" s="55">
        <v>115000</v>
      </c>
      <c r="F59" s="65">
        <v>88865</v>
      </c>
      <c r="G59" s="65">
        <v>111215</v>
      </c>
      <c r="H59" s="65">
        <v>90785</v>
      </c>
      <c r="I59" s="65">
        <f t="shared" si="1"/>
        <v>99038.181818181823</v>
      </c>
      <c r="J59" s="55">
        <v>115000</v>
      </c>
      <c r="K59" s="55">
        <v>115000</v>
      </c>
      <c r="L59" s="65">
        <v>115000</v>
      </c>
      <c r="M59" s="1">
        <f t="shared" si="2"/>
        <v>116.11683281011913</v>
      </c>
      <c r="N59" s="55">
        <v>115000</v>
      </c>
      <c r="O59" s="55">
        <v>89781</v>
      </c>
      <c r="P59" s="55">
        <v>114170</v>
      </c>
      <c r="Q59" s="55">
        <v>140000</v>
      </c>
      <c r="R59" s="55">
        <v>180000</v>
      </c>
      <c r="S59" s="55">
        <v>142886</v>
      </c>
      <c r="T59" s="55">
        <v>140000</v>
      </c>
      <c r="U59" s="69">
        <f t="shared" si="3"/>
        <v>140000</v>
      </c>
      <c r="V59" s="69">
        <f t="shared" si="4"/>
        <v>140000</v>
      </c>
      <c r="W59" s="122">
        <f t="shared" si="11"/>
        <v>1.0206142857142857</v>
      </c>
      <c r="Y59" s="207">
        <f t="shared" si="5"/>
        <v>0.97980207997984403</v>
      </c>
      <c r="Z59" s="69">
        <f t="shared" si="6"/>
        <v>140000</v>
      </c>
      <c r="AA59" s="65">
        <v>74694</v>
      </c>
      <c r="AB59" s="222">
        <v>89254</v>
      </c>
      <c r="AC59" s="65">
        <v>115307</v>
      </c>
      <c r="AD59" s="122">
        <f t="shared" si="20"/>
        <v>82.362142857142857</v>
      </c>
      <c r="AE59" s="122"/>
      <c r="AF59" s="55">
        <v>190000</v>
      </c>
      <c r="AG59" s="222">
        <v>128535</v>
      </c>
      <c r="AH59" s="69">
        <f t="shared" si="32"/>
        <v>154242</v>
      </c>
      <c r="AI59" s="258">
        <f t="shared" si="33"/>
        <v>157326.84</v>
      </c>
      <c r="AJ59" s="230">
        <v>160000</v>
      </c>
      <c r="AK59" s="69">
        <f t="shared" si="7"/>
        <v>160000</v>
      </c>
      <c r="AM59" s="349">
        <v>138735</v>
      </c>
      <c r="AN59" s="349">
        <v>460000</v>
      </c>
      <c r="AO59" s="354">
        <v>33185</v>
      </c>
      <c r="AP59" s="65">
        <v>460000</v>
      </c>
      <c r="AQ59" s="222">
        <v>127842</v>
      </c>
      <c r="AR59" s="65">
        <f t="shared" si="8"/>
        <v>332158</v>
      </c>
      <c r="AS59" s="54">
        <f t="shared" si="12"/>
        <v>27.791739130434784</v>
      </c>
      <c r="AT59" s="65">
        <v>139080</v>
      </c>
      <c r="AU59" s="55">
        <f t="shared" si="29"/>
        <v>320920</v>
      </c>
      <c r="AV59" s="55">
        <f>(AU59/AP59*100)</f>
        <v>69.765217391304347</v>
      </c>
      <c r="AW59" s="367">
        <v>160000</v>
      </c>
      <c r="AX59" s="349">
        <v>160000</v>
      </c>
      <c r="AY59" s="69">
        <f t="shared" si="9"/>
        <v>160000</v>
      </c>
      <c r="AZ59" s="55">
        <f t="shared" ref="AZ59:AZ60" si="36">AY59</f>
        <v>160000</v>
      </c>
      <c r="BA59" s="67">
        <f t="shared" ref="BA59:BA60" si="37">AZ59</f>
        <v>160000</v>
      </c>
      <c r="BB59" s="501">
        <v>160000</v>
      </c>
      <c r="BC59" s="501">
        <v>160000</v>
      </c>
      <c r="BD59" s="501">
        <v>80000</v>
      </c>
      <c r="BE59" s="501">
        <v>80000</v>
      </c>
      <c r="BF59" s="221">
        <v>80000</v>
      </c>
      <c r="BG59" s="515">
        <f t="shared" si="13"/>
        <v>96000</v>
      </c>
      <c r="BH59" s="569">
        <v>160000</v>
      </c>
      <c r="BI59" s="222">
        <v>70000</v>
      </c>
      <c r="BJ59" s="55">
        <v>0</v>
      </c>
      <c r="BK59" s="65"/>
      <c r="BL59" s="69">
        <f t="shared" si="10"/>
        <v>0</v>
      </c>
      <c r="BM59" s="55">
        <v>100000</v>
      </c>
      <c r="BN59" s="55">
        <v>100000</v>
      </c>
      <c r="BO59" s="55"/>
      <c r="BP59" s="55">
        <f t="shared" si="34"/>
        <v>0</v>
      </c>
      <c r="BQ59" s="69">
        <f t="shared" si="35"/>
        <v>0</v>
      </c>
      <c r="BR59" s="55"/>
      <c r="BS59" s="55"/>
      <c r="BT59" s="223"/>
      <c r="BU59" s="353">
        <v>470000</v>
      </c>
      <c r="BV59" s="353">
        <v>500000</v>
      </c>
      <c r="BW59" s="809"/>
    </row>
    <row r="60" spans="1:101" x14ac:dyDescent="0.25">
      <c r="A60" s="54" t="s">
        <v>45</v>
      </c>
      <c r="B60" s="446" t="s">
        <v>154</v>
      </c>
      <c r="C60" s="55">
        <v>250000</v>
      </c>
      <c r="D60" s="55">
        <v>282244</v>
      </c>
      <c r="E60" s="55">
        <v>250000</v>
      </c>
      <c r="F60" s="65">
        <v>212809</v>
      </c>
      <c r="G60" s="65">
        <v>370189</v>
      </c>
      <c r="H60" s="65">
        <v>250387</v>
      </c>
      <c r="I60" s="65">
        <f t="shared" si="1"/>
        <v>273149.45454545453</v>
      </c>
      <c r="J60" s="55">
        <v>292735.04273504275</v>
      </c>
      <c r="K60" s="55">
        <v>292735.04273504275</v>
      </c>
      <c r="L60" s="65">
        <v>292735.04273504275</v>
      </c>
      <c r="M60" s="1">
        <f t="shared" si="2"/>
        <v>107.17028273850315</v>
      </c>
      <c r="N60" s="55">
        <v>292735</v>
      </c>
      <c r="O60" s="55">
        <v>203659</v>
      </c>
      <c r="P60" s="55">
        <v>248785</v>
      </c>
      <c r="Q60" s="55">
        <v>300000</v>
      </c>
      <c r="R60" s="55">
        <v>300735</v>
      </c>
      <c r="S60" s="55">
        <v>299874</v>
      </c>
      <c r="T60" s="55">
        <v>300000</v>
      </c>
      <c r="U60" s="69">
        <f t="shared" si="3"/>
        <v>300000</v>
      </c>
      <c r="V60" s="69">
        <f t="shared" si="4"/>
        <v>300000</v>
      </c>
      <c r="W60" s="122">
        <f t="shared" si="11"/>
        <v>0.99958000000000002</v>
      </c>
      <c r="Y60" s="207">
        <f t="shared" si="5"/>
        <v>1.0004201764741192</v>
      </c>
      <c r="Z60" s="69">
        <f t="shared" si="6"/>
        <v>300000</v>
      </c>
      <c r="AA60" s="65">
        <v>152593</v>
      </c>
      <c r="AB60" s="222">
        <v>183687</v>
      </c>
      <c r="AC60" s="65">
        <v>217443</v>
      </c>
      <c r="AD60" s="122">
        <f t="shared" si="20"/>
        <v>72.480999999999995</v>
      </c>
      <c r="AE60" s="122"/>
      <c r="AF60" s="55">
        <v>250000</v>
      </c>
      <c r="AG60" s="222">
        <v>239485</v>
      </c>
      <c r="AH60" s="69">
        <f t="shared" si="32"/>
        <v>287382</v>
      </c>
      <c r="AI60" s="258">
        <f t="shared" si="33"/>
        <v>293129.64</v>
      </c>
      <c r="AJ60" s="230">
        <v>300000</v>
      </c>
      <c r="AK60" s="69">
        <f t="shared" si="7"/>
        <v>300000</v>
      </c>
      <c r="AM60" s="349">
        <v>264205</v>
      </c>
      <c r="AN60" s="349">
        <v>300000</v>
      </c>
      <c r="AO60" s="354">
        <v>182501</v>
      </c>
      <c r="AP60" s="65">
        <v>300000</v>
      </c>
      <c r="AQ60" s="222">
        <v>259793</v>
      </c>
      <c r="AR60" s="65">
        <f t="shared" si="8"/>
        <v>40207</v>
      </c>
      <c r="AS60" s="54"/>
      <c r="AT60" s="65">
        <v>282087</v>
      </c>
      <c r="AU60" s="55">
        <f t="shared" si="29"/>
        <v>17913</v>
      </c>
      <c r="AV60" s="55">
        <f>(AU60/AP60*100)</f>
        <v>5.9710000000000001</v>
      </c>
      <c r="AW60" s="367">
        <v>300000</v>
      </c>
      <c r="AX60" s="349">
        <v>300000</v>
      </c>
      <c r="AY60" s="69">
        <f t="shared" si="9"/>
        <v>300000</v>
      </c>
      <c r="AZ60" s="55">
        <f t="shared" si="36"/>
        <v>300000</v>
      </c>
      <c r="BA60" s="67">
        <f t="shared" si="37"/>
        <v>300000</v>
      </c>
      <c r="BB60" s="501">
        <v>300000</v>
      </c>
      <c r="BC60" s="501">
        <v>407847</v>
      </c>
      <c r="BD60" s="501">
        <v>209767</v>
      </c>
      <c r="BE60" s="501">
        <v>305536</v>
      </c>
      <c r="BF60" s="221">
        <v>330278</v>
      </c>
      <c r="BG60" s="515">
        <f t="shared" si="13"/>
        <v>396333.60000000003</v>
      </c>
      <c r="BH60" s="569">
        <v>300000</v>
      </c>
      <c r="BI60" s="222">
        <v>460000</v>
      </c>
      <c r="BJ60" s="55">
        <v>205236</v>
      </c>
      <c r="BK60" s="65">
        <v>348245</v>
      </c>
      <c r="BL60" s="69">
        <f t="shared" si="10"/>
        <v>417894</v>
      </c>
      <c r="BM60" s="55">
        <f>500000+100000</f>
        <v>600000</v>
      </c>
      <c r="BN60" s="55">
        <f>500000+100000</f>
        <v>600000</v>
      </c>
      <c r="BO60" s="55">
        <v>478526</v>
      </c>
      <c r="BP60" s="55">
        <f t="shared" si="34"/>
        <v>574231.19999999995</v>
      </c>
      <c r="BQ60" s="69">
        <f t="shared" si="35"/>
        <v>631654.31999999995</v>
      </c>
      <c r="BR60" s="55">
        <v>600000</v>
      </c>
      <c r="BS60" s="55">
        <v>600000</v>
      </c>
      <c r="BT60" s="223">
        <v>600000</v>
      </c>
      <c r="BU60" s="353">
        <v>260000</v>
      </c>
      <c r="BV60" s="353">
        <v>360000</v>
      </c>
      <c r="BW60" s="809"/>
    </row>
    <row r="61" spans="1:101" x14ac:dyDescent="0.25">
      <c r="A61" s="54" t="s">
        <v>700</v>
      </c>
      <c r="B61" s="448" t="s">
        <v>703</v>
      </c>
      <c r="C61" s="65">
        <v>1700000</v>
      </c>
      <c r="D61" s="65">
        <v>1491872</v>
      </c>
      <c r="E61" s="65">
        <v>1770000</v>
      </c>
      <c r="F61" s="65">
        <v>1027315</v>
      </c>
      <c r="G61" s="65">
        <v>1564823</v>
      </c>
      <c r="H61" s="65">
        <v>1104634</v>
      </c>
      <c r="I61" s="65">
        <f t="shared" si="1"/>
        <v>1205055.2727272727</v>
      </c>
      <c r="J61" s="65">
        <v>1770000</v>
      </c>
      <c r="K61" s="65">
        <v>1770000</v>
      </c>
      <c r="L61" s="65">
        <v>1770000</v>
      </c>
      <c r="M61" s="14">
        <f t="shared" si="2"/>
        <v>146.88122943889107</v>
      </c>
      <c r="N61" s="65">
        <v>1770000</v>
      </c>
      <c r="O61" s="65">
        <v>812547</v>
      </c>
      <c r="P61" s="65">
        <v>868182</v>
      </c>
      <c r="Q61" s="65">
        <v>1900000</v>
      </c>
      <c r="R61" s="65">
        <v>1837029</v>
      </c>
      <c r="S61" s="65">
        <v>1798778</v>
      </c>
      <c r="T61" s="65">
        <v>1900000</v>
      </c>
      <c r="U61" s="69">
        <f t="shared" si="3"/>
        <v>1900000</v>
      </c>
      <c r="V61" s="69">
        <f t="shared" si="4"/>
        <v>1900000</v>
      </c>
      <c r="W61" s="121">
        <f t="shared" si="11"/>
        <v>0.94672526315789474</v>
      </c>
      <c r="Y61" s="210">
        <f t="shared" si="5"/>
        <v>1.0562726473194579</v>
      </c>
      <c r="Z61" s="69">
        <f t="shared" si="6"/>
        <v>1900000</v>
      </c>
      <c r="AA61" s="65">
        <v>750657</v>
      </c>
      <c r="AB61" s="222">
        <v>828964</v>
      </c>
      <c r="AC61" s="65">
        <v>841466</v>
      </c>
      <c r="AD61" s="121">
        <f t="shared" si="20"/>
        <v>44.287684210526315</v>
      </c>
      <c r="AE61" s="121"/>
      <c r="AF61" s="65">
        <v>1900000</v>
      </c>
      <c r="AG61" s="222">
        <v>857209</v>
      </c>
      <c r="AH61" s="69">
        <f t="shared" si="32"/>
        <v>1028650.7999999999</v>
      </c>
      <c r="AI61" s="258">
        <f t="shared" si="33"/>
        <v>1049223.8159999999</v>
      </c>
      <c r="AJ61" s="230">
        <v>2400000</v>
      </c>
      <c r="AK61" s="69">
        <f t="shared" si="7"/>
        <v>2400000</v>
      </c>
      <c r="AM61" s="349">
        <v>1908608</v>
      </c>
      <c r="AN61" s="349">
        <v>2400000</v>
      </c>
      <c r="AO61" s="354">
        <v>836610</v>
      </c>
      <c r="AP61" s="65">
        <v>2400000</v>
      </c>
      <c r="AQ61" s="222">
        <v>1744220</v>
      </c>
      <c r="AR61" s="65">
        <f t="shared" si="8"/>
        <v>655780</v>
      </c>
      <c r="AS61" s="54"/>
      <c r="AT61" s="65">
        <v>1744220</v>
      </c>
      <c r="AU61" s="55">
        <f t="shared" si="29"/>
        <v>655780</v>
      </c>
      <c r="AV61" s="55">
        <f>(AU61/AP61*100)</f>
        <v>27.324166666666667</v>
      </c>
      <c r="AW61" s="367">
        <v>2400000</v>
      </c>
      <c r="AX61" s="349">
        <v>2400000</v>
      </c>
      <c r="AY61" s="69">
        <f t="shared" si="9"/>
        <v>2400000</v>
      </c>
      <c r="AZ61" s="456">
        <v>2200000</v>
      </c>
      <c r="BA61" s="456">
        <v>2200000</v>
      </c>
      <c r="BB61" s="501">
        <v>2200000</v>
      </c>
      <c r="BC61" s="501">
        <v>2300000</v>
      </c>
      <c r="BD61" s="501">
        <v>1411158</v>
      </c>
      <c r="BE61" s="501">
        <v>1586500</v>
      </c>
      <c r="BF61" s="221">
        <v>1586500</v>
      </c>
      <c r="BG61" s="515">
        <f t="shared" si="13"/>
        <v>1903800</v>
      </c>
      <c r="BH61" s="569">
        <v>2200000</v>
      </c>
      <c r="BI61" s="222">
        <v>2400000</v>
      </c>
      <c r="BJ61" s="55">
        <v>1324136</v>
      </c>
      <c r="BK61" s="65">
        <v>1641406</v>
      </c>
      <c r="BL61" s="69">
        <f t="shared" si="10"/>
        <v>1969687.2000000002</v>
      </c>
      <c r="BM61" s="55">
        <v>5866666</v>
      </c>
      <c r="BN61" s="55">
        <v>5866666</v>
      </c>
      <c r="BO61" s="55">
        <v>1821670</v>
      </c>
      <c r="BP61" s="55">
        <f t="shared" si="34"/>
        <v>2186004</v>
      </c>
      <c r="BQ61" s="69">
        <f t="shared" si="35"/>
        <v>2404604.4000000004</v>
      </c>
      <c r="BR61" s="55">
        <v>2500000</v>
      </c>
      <c r="BS61" s="55">
        <v>2500000</v>
      </c>
      <c r="BT61" s="245">
        <f>2500000*0.75</f>
        <v>1875000</v>
      </c>
      <c r="BU61" s="353">
        <v>2000000</v>
      </c>
      <c r="BV61" s="353">
        <v>3000000</v>
      </c>
      <c r="BW61" s="809">
        <v>1562787</v>
      </c>
    </row>
    <row r="62" spans="1:101" x14ac:dyDescent="0.25">
      <c r="A62" s="54" t="s">
        <v>701</v>
      </c>
      <c r="B62" s="448" t="s">
        <v>704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14"/>
      <c r="N62" s="65"/>
      <c r="O62" s="65"/>
      <c r="P62" s="65"/>
      <c r="Q62" s="65"/>
      <c r="R62" s="65"/>
      <c r="S62" s="65"/>
      <c r="T62" s="65"/>
      <c r="U62" s="69"/>
      <c r="V62" s="69"/>
      <c r="W62" s="121"/>
      <c r="Y62" s="210"/>
      <c r="Z62" s="69"/>
      <c r="AA62" s="65"/>
      <c r="AB62" s="222"/>
      <c r="AC62" s="65"/>
      <c r="AD62" s="121"/>
      <c r="AE62" s="121"/>
      <c r="AF62" s="65"/>
      <c r="AG62" s="222"/>
      <c r="AH62" s="69"/>
      <c r="AI62" s="258"/>
      <c r="AK62" s="69"/>
      <c r="AM62" s="349"/>
      <c r="AN62" s="349"/>
      <c r="AO62" s="354"/>
      <c r="AS62" s="54"/>
      <c r="AT62" s="65"/>
      <c r="AU62" s="55"/>
      <c r="AV62" s="55"/>
      <c r="AW62" s="367"/>
      <c r="AX62" s="349"/>
      <c r="AY62" s="69"/>
      <c r="AZ62" s="456"/>
      <c r="BA62" s="456"/>
      <c r="BB62" s="501"/>
      <c r="BE62" s="501"/>
      <c r="BF62" s="221"/>
      <c r="BG62" s="515"/>
      <c r="BH62" s="569"/>
      <c r="BI62" s="222"/>
      <c r="BJ62" s="55"/>
      <c r="BK62" s="65"/>
      <c r="BL62" s="69"/>
      <c r="BM62" s="55">
        <v>2933334</v>
      </c>
      <c r="BN62" s="55">
        <v>2933334</v>
      </c>
      <c r="BO62" s="55">
        <v>501441</v>
      </c>
      <c r="BP62" s="55">
        <f t="shared" si="34"/>
        <v>601729.19999999995</v>
      </c>
      <c r="BQ62" s="69">
        <f t="shared" si="35"/>
        <v>661902.12</v>
      </c>
      <c r="BR62" s="55">
        <v>1000000</v>
      </c>
      <c r="BS62" s="55">
        <v>1000000</v>
      </c>
      <c r="BT62" s="245">
        <f>1000000*0.9</f>
        <v>900000</v>
      </c>
      <c r="BU62" s="353">
        <v>2500000</v>
      </c>
      <c r="BV62" s="353">
        <v>3000000</v>
      </c>
      <c r="BW62" s="809">
        <v>1163679</v>
      </c>
    </row>
    <row r="63" spans="1:101" x14ac:dyDescent="0.25">
      <c r="A63" s="54" t="s">
        <v>702</v>
      </c>
      <c r="B63" s="448" t="s">
        <v>705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14"/>
      <c r="N63" s="65"/>
      <c r="O63" s="65"/>
      <c r="P63" s="65"/>
      <c r="Q63" s="65"/>
      <c r="R63" s="65"/>
      <c r="S63" s="65"/>
      <c r="T63" s="65"/>
      <c r="U63" s="69"/>
      <c r="V63" s="69"/>
      <c r="W63" s="121"/>
      <c r="Y63" s="210"/>
      <c r="Z63" s="69"/>
      <c r="AA63" s="65"/>
      <c r="AB63" s="222"/>
      <c r="AC63" s="65"/>
      <c r="AD63" s="121"/>
      <c r="AE63" s="121"/>
      <c r="AF63" s="65"/>
      <c r="AG63" s="222"/>
      <c r="AH63" s="69"/>
      <c r="AI63" s="258"/>
      <c r="AK63" s="69"/>
      <c r="AM63" s="349"/>
      <c r="AN63" s="349"/>
      <c r="AO63" s="354"/>
      <c r="AS63" s="54"/>
      <c r="AT63" s="65"/>
      <c r="AU63" s="55"/>
      <c r="AV63" s="55"/>
      <c r="AW63" s="367"/>
      <c r="AX63" s="349"/>
      <c r="AY63" s="69"/>
      <c r="AZ63" s="456"/>
      <c r="BA63" s="456"/>
      <c r="BB63" s="501"/>
      <c r="BE63" s="501"/>
      <c r="BF63" s="221"/>
      <c r="BG63" s="515"/>
      <c r="BH63" s="569"/>
      <c r="BI63" s="222"/>
      <c r="BJ63" s="55"/>
      <c r="BK63" s="65"/>
      <c r="BL63" s="69"/>
      <c r="BM63" s="55">
        <v>200000</v>
      </c>
      <c r="BN63" s="55">
        <v>200000</v>
      </c>
      <c r="BO63" s="55">
        <v>25357</v>
      </c>
      <c r="BP63" s="55">
        <f t="shared" si="34"/>
        <v>30428.399999999998</v>
      </c>
      <c r="BQ63" s="69">
        <f t="shared" si="35"/>
        <v>33471.24</v>
      </c>
      <c r="BR63" s="55">
        <v>100000</v>
      </c>
      <c r="BS63" s="55">
        <v>100000</v>
      </c>
      <c r="BT63" s="245">
        <f>100000*2</f>
        <v>200000</v>
      </c>
      <c r="BU63" s="353">
        <v>1200000</v>
      </c>
      <c r="BV63" s="353"/>
      <c r="BW63" s="809"/>
      <c r="BY63" s="887" t="s">
        <v>801</v>
      </c>
      <c r="BZ63" s="887"/>
      <c r="CA63" s="888"/>
      <c r="CB63" s="887"/>
      <c r="CC63" s="887"/>
      <c r="CD63" s="887"/>
    </row>
    <row r="64" spans="1:101" x14ac:dyDescent="0.25">
      <c r="A64" s="54" t="s">
        <v>231</v>
      </c>
      <c r="B64" s="446" t="s">
        <v>232</v>
      </c>
      <c r="C64" s="55"/>
      <c r="D64" s="55"/>
      <c r="E64" s="55"/>
      <c r="F64" s="65"/>
      <c r="G64" s="65"/>
      <c r="H64" s="65"/>
      <c r="I64" s="65">
        <f t="shared" si="1"/>
        <v>0</v>
      </c>
      <c r="J64" s="55"/>
      <c r="K64" s="55"/>
      <c r="L64" s="65"/>
      <c r="M64" s="1">
        <f t="shared" si="2"/>
        <v>0</v>
      </c>
      <c r="N64" s="55"/>
      <c r="O64" s="55"/>
      <c r="P64" s="55"/>
      <c r="Q64" s="55"/>
      <c r="R64" s="55"/>
      <c r="S64" s="55"/>
      <c r="T64" s="55"/>
      <c r="U64" s="69">
        <f t="shared" si="3"/>
        <v>0</v>
      </c>
      <c r="V64" s="69">
        <f t="shared" si="4"/>
        <v>0</v>
      </c>
      <c r="W64" s="122"/>
      <c r="Y64" s="207" t="e">
        <f t="shared" si="5"/>
        <v>#DIV/0!</v>
      </c>
      <c r="Z64" s="69">
        <f t="shared" si="6"/>
        <v>0</v>
      </c>
      <c r="AA64" s="65"/>
      <c r="AB64" s="222"/>
      <c r="AC64" s="65"/>
      <c r="AD64" s="122"/>
      <c r="AE64" s="122"/>
      <c r="AG64" s="222"/>
      <c r="AH64" s="69">
        <f t="shared" si="32"/>
        <v>0</v>
      </c>
      <c r="AI64" s="258">
        <f t="shared" si="33"/>
        <v>0</v>
      </c>
      <c r="AK64" s="69">
        <f t="shared" si="7"/>
        <v>0</v>
      </c>
      <c r="AM64" s="349"/>
      <c r="AN64" s="349"/>
      <c r="AO64" s="354"/>
      <c r="AP64" s="65">
        <v>0</v>
      </c>
      <c r="AQ64" s="222">
        <v>0</v>
      </c>
      <c r="AR64" s="65">
        <f t="shared" si="8"/>
        <v>0</v>
      </c>
      <c r="AS64" s="54"/>
      <c r="AT64" s="65"/>
      <c r="AU64" s="55">
        <f t="shared" si="29"/>
        <v>0</v>
      </c>
      <c r="AV64" s="55"/>
      <c r="AW64" s="367"/>
      <c r="AX64" s="349"/>
      <c r="AY64" s="69">
        <f t="shared" si="9"/>
        <v>0</v>
      </c>
      <c r="AZ64" s="424"/>
      <c r="BA64" s="424"/>
      <c r="BB64" s="501"/>
      <c r="BE64" s="501"/>
      <c r="BF64" s="221"/>
      <c r="BG64" s="515">
        <f t="shared" si="13"/>
        <v>0</v>
      </c>
      <c r="BH64" s="569"/>
      <c r="BI64" s="222"/>
      <c r="BJ64" s="55"/>
      <c r="BK64" s="65"/>
      <c r="BL64" s="69">
        <f t="shared" si="10"/>
        <v>0</v>
      </c>
      <c r="BM64" s="55"/>
      <c r="BN64" s="55"/>
      <c r="BO64" s="55"/>
      <c r="BP64" s="55">
        <f t="shared" si="34"/>
        <v>0</v>
      </c>
      <c r="BQ64" s="69">
        <f t="shared" si="35"/>
        <v>0</v>
      </c>
      <c r="BR64" s="55"/>
      <c r="BS64" s="55"/>
      <c r="BT64" s="223"/>
      <c r="BU64" s="353"/>
      <c r="BV64" s="353"/>
      <c r="BW64" s="809"/>
      <c r="BY64" s="887" t="s">
        <v>802</v>
      </c>
      <c r="BZ64" s="887"/>
      <c r="CA64" s="888"/>
      <c r="CB64" s="887"/>
      <c r="CC64" s="887"/>
      <c r="CD64" s="887"/>
    </row>
    <row r="65" spans="1:75" x14ac:dyDescent="0.25">
      <c r="A65" s="54" t="s">
        <v>46</v>
      </c>
      <c r="B65" s="446" t="s">
        <v>155</v>
      </c>
      <c r="C65" s="55">
        <v>0</v>
      </c>
      <c r="D65" s="55">
        <v>18773</v>
      </c>
      <c r="E65" s="55">
        <v>0</v>
      </c>
      <c r="F65" s="65">
        <v>30481</v>
      </c>
      <c r="G65" s="65">
        <v>80233</v>
      </c>
      <c r="H65" s="65">
        <v>33252</v>
      </c>
      <c r="I65" s="65">
        <f t="shared" si="1"/>
        <v>36274.909090909088</v>
      </c>
      <c r="J65" s="55">
        <v>85470.085470085469</v>
      </c>
      <c r="K65" s="55">
        <v>85470.085470085469</v>
      </c>
      <c r="L65" s="65">
        <v>85470.085470085469</v>
      </c>
      <c r="M65" s="1">
        <f t="shared" si="2"/>
        <v>235.61764208943328</v>
      </c>
      <c r="N65" s="55">
        <v>135470</v>
      </c>
      <c r="O65" s="55">
        <v>13736</v>
      </c>
      <c r="P65" s="55">
        <v>13736</v>
      </c>
      <c r="Q65" s="55">
        <v>85000</v>
      </c>
      <c r="R65" s="55">
        <v>135470</v>
      </c>
      <c r="S65" s="55">
        <v>30604</v>
      </c>
      <c r="T65" s="55">
        <v>85000</v>
      </c>
      <c r="U65" s="69">
        <f t="shared" si="3"/>
        <v>85000</v>
      </c>
      <c r="V65" s="69">
        <f t="shared" si="4"/>
        <v>85000</v>
      </c>
      <c r="W65" s="122">
        <f t="shared" si="11"/>
        <v>0.36004705882352939</v>
      </c>
      <c r="Y65" s="207">
        <f>V65/S65</f>
        <v>2.7774147170304535</v>
      </c>
      <c r="Z65" s="69">
        <f t="shared" si="6"/>
        <v>85000</v>
      </c>
      <c r="AA65" s="65">
        <v>17668</v>
      </c>
      <c r="AB65" s="222">
        <v>23634</v>
      </c>
      <c r="AC65" s="65">
        <v>26617</v>
      </c>
      <c r="AD65" s="122">
        <f t="shared" si="20"/>
        <v>31.314117647058826</v>
      </c>
      <c r="AE65" s="122"/>
      <c r="AF65" s="55">
        <v>85000</v>
      </c>
      <c r="AG65" s="222">
        <v>32583</v>
      </c>
      <c r="AH65" s="69">
        <f t="shared" si="32"/>
        <v>39099.600000000006</v>
      </c>
      <c r="AI65" s="258">
        <f t="shared" si="33"/>
        <v>39881.592000000004</v>
      </c>
      <c r="AJ65" s="230">
        <v>85000</v>
      </c>
      <c r="AK65" s="69">
        <f t="shared" si="7"/>
        <v>85000</v>
      </c>
      <c r="AM65" s="349">
        <v>35566</v>
      </c>
      <c r="AN65" s="349">
        <v>85000</v>
      </c>
      <c r="AO65" s="354">
        <v>18847</v>
      </c>
      <c r="AP65" s="65">
        <v>85000</v>
      </c>
      <c r="AQ65" s="222">
        <v>25289</v>
      </c>
      <c r="AR65" s="65">
        <f t="shared" si="8"/>
        <v>59711</v>
      </c>
      <c r="AS65" s="54">
        <f t="shared" si="12"/>
        <v>29.751764705882355</v>
      </c>
      <c r="AT65" s="65">
        <v>28510</v>
      </c>
      <c r="AU65" s="55">
        <f t="shared" si="29"/>
        <v>56490</v>
      </c>
      <c r="AV65" s="55">
        <f>(AU65/AP65*100)</f>
        <v>66.458823529411774</v>
      </c>
      <c r="AW65" s="367">
        <v>85000</v>
      </c>
      <c r="AX65" s="349">
        <v>85000</v>
      </c>
      <c r="AY65" s="69">
        <f t="shared" si="9"/>
        <v>85000</v>
      </c>
      <c r="AZ65" s="55">
        <f t="shared" si="9"/>
        <v>85000</v>
      </c>
      <c r="BA65" s="67">
        <f t="shared" si="9"/>
        <v>85000</v>
      </c>
      <c r="BB65" s="501">
        <v>85000</v>
      </c>
      <c r="BC65" s="501">
        <v>85000</v>
      </c>
      <c r="BD65" s="501">
        <v>6830</v>
      </c>
      <c r="BE65" s="501">
        <v>29825</v>
      </c>
      <c r="BF65" s="221">
        <v>33240</v>
      </c>
      <c r="BG65" s="515">
        <f t="shared" si="13"/>
        <v>39888</v>
      </c>
      <c r="BH65" s="569">
        <v>85000</v>
      </c>
      <c r="BI65" s="222">
        <v>85000</v>
      </c>
      <c r="BJ65" s="55">
        <v>3858</v>
      </c>
      <c r="BK65" s="65">
        <v>15434</v>
      </c>
      <c r="BL65" s="69">
        <f t="shared" si="10"/>
        <v>18520.800000000003</v>
      </c>
      <c r="BM65" s="55">
        <v>50000</v>
      </c>
      <c r="BN65" s="55">
        <v>50000</v>
      </c>
      <c r="BO65" s="646">
        <v>41703</v>
      </c>
      <c r="BP65" s="55">
        <f t="shared" si="34"/>
        <v>50043.600000000006</v>
      </c>
      <c r="BQ65" s="69">
        <f t="shared" si="35"/>
        <v>55047.960000000014</v>
      </c>
      <c r="BR65" s="55">
        <v>50000</v>
      </c>
      <c r="BS65" s="55">
        <v>50000</v>
      </c>
      <c r="BT65" s="223">
        <v>50000</v>
      </c>
      <c r="BU65" s="353">
        <v>50000</v>
      </c>
      <c r="BV65" s="353">
        <v>500000</v>
      </c>
      <c r="BW65" s="809"/>
    </row>
    <row r="66" spans="1:75" x14ac:dyDescent="0.25">
      <c r="A66" s="54" t="s">
        <v>47</v>
      </c>
      <c r="B66" s="446" t="s">
        <v>156</v>
      </c>
      <c r="C66" s="55">
        <v>350000</v>
      </c>
      <c r="D66" s="55">
        <v>280894</v>
      </c>
      <c r="E66" s="55">
        <v>300000</v>
      </c>
      <c r="F66" s="65">
        <v>642803</v>
      </c>
      <c r="G66" s="65">
        <v>742803</v>
      </c>
      <c r="H66" s="65">
        <v>642803</v>
      </c>
      <c r="I66" s="65">
        <f t="shared" si="1"/>
        <v>701239.63636363635</v>
      </c>
      <c r="J66" s="55">
        <v>470940.17094017094</v>
      </c>
      <c r="K66" s="55">
        <v>470940.17094017094</v>
      </c>
      <c r="L66" s="65">
        <v>470940.17094017094</v>
      </c>
      <c r="M66" s="1">
        <f t="shared" si="2"/>
        <v>67.15823614624648</v>
      </c>
      <c r="N66" s="55">
        <v>470940</v>
      </c>
      <c r="O66" s="55">
        <v>285747</v>
      </c>
      <c r="P66" s="55">
        <v>303247</v>
      </c>
      <c r="Q66" s="55">
        <v>470000</v>
      </c>
      <c r="R66" s="55">
        <v>430940</v>
      </c>
      <c r="S66" s="55">
        <v>426897</v>
      </c>
      <c r="T66" s="55">
        <v>470000</v>
      </c>
      <c r="U66" s="69">
        <f t="shared" si="3"/>
        <v>470000</v>
      </c>
      <c r="V66" s="69">
        <f t="shared" si="4"/>
        <v>470000</v>
      </c>
      <c r="W66" s="122">
        <f t="shared" si="11"/>
        <v>0.90829148936170212</v>
      </c>
      <c r="Y66" s="207">
        <f t="shared" si="5"/>
        <v>1.1009681492256915</v>
      </c>
      <c r="Z66" s="69">
        <f t="shared" si="6"/>
        <v>470000</v>
      </c>
      <c r="AA66" s="65">
        <v>135122</v>
      </c>
      <c r="AB66" s="222">
        <v>178618</v>
      </c>
      <c r="AC66" s="65">
        <v>178618</v>
      </c>
      <c r="AD66" s="122">
        <f t="shared" si="20"/>
        <v>38.003829787234046</v>
      </c>
      <c r="AE66" s="122"/>
      <c r="AF66" s="55">
        <v>380000</v>
      </c>
      <c r="AG66" s="222">
        <v>178618</v>
      </c>
      <c r="AH66" s="69">
        <f t="shared" si="32"/>
        <v>214341.59999999998</v>
      </c>
      <c r="AI66" s="258">
        <f t="shared" si="33"/>
        <v>218628.43199999997</v>
      </c>
      <c r="AJ66" s="230">
        <v>470000</v>
      </c>
      <c r="AK66" s="69">
        <f t="shared" si="7"/>
        <v>470000</v>
      </c>
      <c r="AM66" s="349">
        <v>184701</v>
      </c>
      <c r="AN66" s="349">
        <v>470000</v>
      </c>
      <c r="AO66" s="354">
        <v>368225</v>
      </c>
      <c r="AP66" s="65">
        <v>470000</v>
      </c>
      <c r="AQ66" s="222">
        <v>368225</v>
      </c>
      <c r="AR66" s="65">
        <f t="shared" si="8"/>
        <v>101775</v>
      </c>
      <c r="AS66" s="54">
        <f t="shared" si="12"/>
        <v>78.345744680851055</v>
      </c>
      <c r="AT66" s="65">
        <v>368225</v>
      </c>
      <c r="AU66" s="55">
        <f t="shared" si="29"/>
        <v>101775</v>
      </c>
      <c r="AV66" s="55">
        <f>(AU66/AP66*100)</f>
        <v>21.654255319148934</v>
      </c>
      <c r="AW66" s="367">
        <v>470000</v>
      </c>
      <c r="AX66" s="349">
        <v>470000</v>
      </c>
      <c r="AY66" s="69">
        <f t="shared" si="9"/>
        <v>470000</v>
      </c>
      <c r="AZ66" s="55">
        <f t="shared" ref="AZ66" si="38">AY66</f>
        <v>470000</v>
      </c>
      <c r="BA66" s="67">
        <f t="shared" ref="BA66" si="39">AZ66</f>
        <v>470000</v>
      </c>
      <c r="BB66" s="501">
        <v>470000</v>
      </c>
      <c r="BC66" s="501">
        <v>470000</v>
      </c>
      <c r="BD66" s="501">
        <v>0</v>
      </c>
      <c r="BE66" s="501"/>
      <c r="BF66" s="221"/>
      <c r="BG66" s="515">
        <f t="shared" si="13"/>
        <v>0</v>
      </c>
      <c r="BH66" s="569">
        <v>300000</v>
      </c>
      <c r="BI66" s="222">
        <v>300000</v>
      </c>
      <c r="BJ66" s="55">
        <v>0</v>
      </c>
      <c r="BK66" s="65"/>
      <c r="BL66" s="69">
        <f t="shared" si="10"/>
        <v>0</v>
      </c>
      <c r="BM66" s="55">
        <v>100000</v>
      </c>
      <c r="BN66" s="55">
        <v>100000</v>
      </c>
      <c r="BO66" s="646">
        <v>0</v>
      </c>
      <c r="BP66" s="55">
        <f t="shared" si="34"/>
        <v>0</v>
      </c>
      <c r="BQ66" s="69">
        <f t="shared" si="35"/>
        <v>0</v>
      </c>
      <c r="BR66" s="55"/>
      <c r="BS66" s="55"/>
      <c r="BT66" s="223"/>
      <c r="BU66" s="353">
        <v>100000</v>
      </c>
      <c r="BV66" s="353">
        <v>300000</v>
      </c>
      <c r="BW66" s="809"/>
    </row>
    <row r="67" spans="1:75" x14ac:dyDescent="0.25">
      <c r="A67" s="54" t="s">
        <v>48</v>
      </c>
      <c r="B67" s="446" t="s">
        <v>157</v>
      </c>
      <c r="C67" s="55">
        <v>0</v>
      </c>
      <c r="D67" s="55">
        <v>0</v>
      </c>
      <c r="E67" s="55">
        <v>0</v>
      </c>
      <c r="F67" s="65">
        <v>0</v>
      </c>
      <c r="G67" s="65"/>
      <c r="H67" s="65"/>
      <c r="I67" s="65">
        <f t="shared" si="1"/>
        <v>0</v>
      </c>
      <c r="J67" s="55">
        <v>0</v>
      </c>
      <c r="K67" s="55">
        <v>0</v>
      </c>
      <c r="L67" s="65">
        <v>0</v>
      </c>
      <c r="M67" s="1">
        <f t="shared" si="2"/>
        <v>0</v>
      </c>
      <c r="N67" s="55"/>
      <c r="O67" s="55"/>
      <c r="P67" s="55"/>
      <c r="Q67" s="55"/>
      <c r="R67" s="55"/>
      <c r="S67" s="55"/>
      <c r="T67" s="55"/>
      <c r="U67" s="69">
        <f t="shared" si="3"/>
        <v>0</v>
      </c>
      <c r="V67" s="69">
        <f t="shared" si="4"/>
        <v>0</v>
      </c>
      <c r="W67" s="122"/>
      <c r="Y67" s="207" t="e">
        <f t="shared" si="5"/>
        <v>#DIV/0!</v>
      </c>
      <c r="Z67" s="69">
        <f t="shared" si="6"/>
        <v>0</v>
      </c>
      <c r="AA67" s="55"/>
      <c r="AB67" s="223"/>
      <c r="AC67" s="55"/>
      <c r="AD67" s="122"/>
      <c r="AE67" s="122"/>
      <c r="AG67" s="222"/>
      <c r="AH67" s="69">
        <f t="shared" si="32"/>
        <v>0</v>
      </c>
      <c r="AI67" s="258">
        <f t="shared" si="33"/>
        <v>0</v>
      </c>
      <c r="AK67" s="69">
        <f t="shared" si="7"/>
        <v>0</v>
      </c>
      <c r="AM67" s="349"/>
      <c r="AN67" s="349"/>
      <c r="AO67" s="354"/>
      <c r="AR67" s="65">
        <f t="shared" si="8"/>
        <v>0</v>
      </c>
      <c r="AS67" s="54"/>
      <c r="AT67" s="65"/>
      <c r="AU67" s="55"/>
      <c r="AV67" s="55"/>
      <c r="AW67" s="367"/>
      <c r="AX67" s="349"/>
      <c r="AY67" s="69">
        <f t="shared" si="9"/>
        <v>0</v>
      </c>
      <c r="AZ67" s="424"/>
      <c r="BA67" s="424"/>
      <c r="BB67" s="501"/>
      <c r="BE67" s="501"/>
      <c r="BF67" s="221"/>
      <c r="BG67" s="515">
        <f t="shared" si="13"/>
        <v>0</v>
      </c>
      <c r="BH67" s="569"/>
      <c r="BI67" s="222"/>
      <c r="BJ67" s="55"/>
      <c r="BK67" s="65"/>
      <c r="BL67" s="69">
        <f t="shared" si="10"/>
        <v>0</v>
      </c>
      <c r="BM67" s="55"/>
      <c r="BN67" s="55"/>
      <c r="BO67" s="646"/>
      <c r="BP67" s="55">
        <f t="shared" si="34"/>
        <v>0</v>
      </c>
      <c r="BQ67" s="69">
        <f t="shared" si="35"/>
        <v>0</v>
      </c>
      <c r="BR67" s="55"/>
      <c r="BS67" s="55"/>
      <c r="BT67" s="223"/>
      <c r="BU67" s="353"/>
      <c r="BV67" s="353"/>
      <c r="BW67" s="809"/>
    </row>
    <row r="68" spans="1:75" x14ac:dyDescent="0.25">
      <c r="A68" s="54" t="s">
        <v>233</v>
      </c>
      <c r="B68" s="446" t="s">
        <v>234</v>
      </c>
      <c r="C68" s="55"/>
      <c r="D68" s="55"/>
      <c r="E68" s="55"/>
      <c r="F68" s="65"/>
      <c r="G68" s="65">
        <v>90900</v>
      </c>
      <c r="H68" s="65">
        <v>90900</v>
      </c>
      <c r="I68" s="65">
        <f t="shared" si="1"/>
        <v>99163.636363636368</v>
      </c>
      <c r="J68" s="55"/>
      <c r="K68" s="55"/>
      <c r="L68" s="65"/>
      <c r="M68" s="1">
        <f t="shared" si="2"/>
        <v>0</v>
      </c>
      <c r="N68" s="55"/>
      <c r="O68" s="55"/>
      <c r="P68" s="55"/>
      <c r="Q68" s="55"/>
      <c r="R68" s="55"/>
      <c r="S68" s="55"/>
      <c r="T68" s="55"/>
      <c r="U68" s="69">
        <f t="shared" si="3"/>
        <v>0</v>
      </c>
      <c r="V68" s="69">
        <f t="shared" si="4"/>
        <v>0</v>
      </c>
      <c r="W68" s="122"/>
      <c r="Y68" s="207" t="e">
        <f t="shared" si="5"/>
        <v>#DIV/0!</v>
      </c>
      <c r="Z68" s="69">
        <f t="shared" si="6"/>
        <v>0</v>
      </c>
      <c r="AA68" s="55"/>
      <c r="AB68" s="223"/>
      <c r="AC68" s="55"/>
      <c r="AD68" s="122"/>
      <c r="AE68" s="122"/>
      <c r="AH68" s="69">
        <f t="shared" si="32"/>
        <v>0</v>
      </c>
      <c r="AI68" s="258">
        <f t="shared" si="33"/>
        <v>0</v>
      </c>
      <c r="AK68" s="69">
        <f t="shared" si="7"/>
        <v>0</v>
      </c>
      <c r="AM68" s="349"/>
      <c r="AN68" s="349"/>
      <c r="AO68" s="354"/>
      <c r="AR68" s="65">
        <f t="shared" si="8"/>
        <v>0</v>
      </c>
      <c r="AS68" s="54"/>
      <c r="AT68" s="65"/>
      <c r="AU68" s="55"/>
      <c r="AV68" s="55"/>
      <c r="AW68" s="367"/>
      <c r="AX68" s="349"/>
      <c r="AY68" s="69">
        <f t="shared" si="9"/>
        <v>0</v>
      </c>
      <c r="AZ68" s="424"/>
      <c r="BA68" s="424"/>
      <c r="BB68" s="501"/>
      <c r="BE68" s="501"/>
      <c r="BF68" s="221"/>
      <c r="BG68" s="515">
        <f t="shared" si="13"/>
        <v>0</v>
      </c>
      <c r="BH68" s="569"/>
      <c r="BI68" s="222"/>
      <c r="BJ68" s="55"/>
      <c r="BK68" s="65"/>
      <c r="BL68" s="69">
        <f t="shared" si="10"/>
        <v>0</v>
      </c>
      <c r="BM68" s="55"/>
      <c r="BN68" s="55"/>
      <c r="BO68" s="646"/>
      <c r="BP68" s="55">
        <f t="shared" si="34"/>
        <v>0</v>
      </c>
      <c r="BQ68" s="69">
        <f t="shared" si="35"/>
        <v>0</v>
      </c>
      <c r="BR68" s="55"/>
      <c r="BS68" s="55"/>
      <c r="BT68" s="223"/>
      <c r="BU68" s="353">
        <v>300000</v>
      </c>
      <c r="BV68" s="353"/>
      <c r="BW68" s="809"/>
    </row>
    <row r="69" spans="1:75" x14ac:dyDescent="0.25">
      <c r="A69" s="54" t="s">
        <v>49</v>
      </c>
      <c r="B69" s="446" t="s">
        <v>158</v>
      </c>
      <c r="C69" s="55">
        <v>8965000</v>
      </c>
      <c r="D69" s="55">
        <v>8957468</v>
      </c>
      <c r="E69" s="55">
        <v>10215000</v>
      </c>
      <c r="F69" s="65">
        <f>9984444+90900</f>
        <v>10075344</v>
      </c>
      <c r="G69" s="65">
        <v>11726279</v>
      </c>
      <c r="H69" s="65">
        <v>10726771</v>
      </c>
      <c r="I69" s="65">
        <f t="shared" si="1"/>
        <v>11701932</v>
      </c>
      <c r="J69" s="55">
        <v>11399376.068376068</v>
      </c>
      <c r="K69" s="55">
        <v>11399376.068376068</v>
      </c>
      <c r="L69" s="65">
        <f>11399376.0683761+8000000</f>
        <v>19399376.068376102</v>
      </c>
      <c r="M69" s="1">
        <f t="shared" si="2"/>
        <v>165.77925823168431</v>
      </c>
      <c r="N69" s="55">
        <v>21919063</v>
      </c>
      <c r="O69" s="55">
        <v>19740007</v>
      </c>
      <c r="P69" s="55">
        <v>20720116</v>
      </c>
      <c r="Q69" s="55">
        <v>21541000</v>
      </c>
      <c r="R69" s="55">
        <v>23101034</v>
      </c>
      <c r="S69" s="55">
        <v>22535562</v>
      </c>
      <c r="T69" s="55">
        <v>21541000</v>
      </c>
      <c r="U69" s="69">
        <f t="shared" si="3"/>
        <v>21541000</v>
      </c>
      <c r="V69" s="69">
        <f t="shared" si="4"/>
        <v>21541000</v>
      </c>
      <c r="W69" s="122">
        <f t="shared" si="11"/>
        <v>1.0461706513160949</v>
      </c>
      <c r="Y69" s="207">
        <f t="shared" si="5"/>
        <v>0.95586699812500797</v>
      </c>
      <c r="Z69" s="69">
        <v>22541000</v>
      </c>
      <c r="AA69" s="55">
        <v>7095842</v>
      </c>
      <c r="AB69" s="223">
        <v>12872062</v>
      </c>
      <c r="AC69" s="55">
        <v>20110508</v>
      </c>
      <c r="AD69" s="122">
        <f t="shared" si="20"/>
        <v>89.217461514573444</v>
      </c>
      <c r="AE69" s="122"/>
      <c r="AF69" s="55">
        <v>24292281</v>
      </c>
      <c r="AG69" s="222">
        <v>21390733</v>
      </c>
      <c r="AH69" s="69">
        <f t="shared" si="32"/>
        <v>25668879.599999998</v>
      </c>
      <c r="AI69" s="258">
        <f t="shared" si="33"/>
        <v>26182257.191999998</v>
      </c>
      <c r="AJ69" s="230">
        <v>23000000</v>
      </c>
      <c r="AK69" s="69">
        <f t="shared" si="7"/>
        <v>23000000</v>
      </c>
      <c r="AM69" s="349">
        <v>23541679</v>
      </c>
      <c r="AN69" s="349">
        <v>15700000</v>
      </c>
      <c r="AO69" s="354">
        <v>2511178</v>
      </c>
      <c r="AP69" s="65">
        <v>15600000</v>
      </c>
      <c r="AQ69" s="222">
        <v>6686834</v>
      </c>
      <c r="AR69" s="221">
        <f t="shared" si="8"/>
        <v>8913166</v>
      </c>
      <c r="AS69" s="54">
        <f t="shared" si="12"/>
        <v>42.864320512820512</v>
      </c>
      <c r="AT69" s="65">
        <v>7189086</v>
      </c>
      <c r="AU69" s="55">
        <f>AP69-AT69</f>
        <v>8410914</v>
      </c>
      <c r="AV69" s="55">
        <f>(AU69/AP69*100)</f>
        <v>53.916115384615381</v>
      </c>
      <c r="AW69" s="367">
        <v>23000000</v>
      </c>
      <c r="AX69" s="349">
        <f>23000000-6200000</f>
        <v>16800000</v>
      </c>
      <c r="AY69" s="69">
        <f t="shared" si="9"/>
        <v>16800000</v>
      </c>
      <c r="AZ69" s="55">
        <f t="shared" ref="AZ69" si="40">AY69</f>
        <v>16800000</v>
      </c>
      <c r="BA69" s="67">
        <f t="shared" ref="BA69" si="41">AZ69</f>
        <v>16800000</v>
      </c>
      <c r="BB69" s="501">
        <v>16800000</v>
      </c>
      <c r="BC69" s="501">
        <v>16764444</v>
      </c>
      <c r="BD69" s="501">
        <v>1954536</v>
      </c>
      <c r="BE69" s="501">
        <v>6646768</v>
      </c>
      <c r="BF69" s="221">
        <v>6842665</v>
      </c>
      <c r="BG69" s="515">
        <f t="shared" si="13"/>
        <v>8211198</v>
      </c>
      <c r="BH69" s="569">
        <v>21475000</v>
      </c>
      <c r="BI69" s="222">
        <v>22518770</v>
      </c>
      <c r="BJ69" s="65">
        <v>4404853</v>
      </c>
      <c r="BK69" s="65">
        <v>9386702</v>
      </c>
      <c r="BL69" s="69">
        <f t="shared" si="10"/>
        <v>11264042.399999999</v>
      </c>
      <c r="BM69" s="65">
        <f>9550000+500000-4000000+4200000</f>
        <v>10250000</v>
      </c>
      <c r="BN69" s="65">
        <v>10250000</v>
      </c>
      <c r="BO69" s="646">
        <v>12016980</v>
      </c>
      <c r="BP69" s="55">
        <f t="shared" si="34"/>
        <v>14420376</v>
      </c>
      <c r="BQ69" s="69">
        <f t="shared" si="35"/>
        <v>15862413.600000001</v>
      </c>
      <c r="BR69" s="55">
        <v>30910000</v>
      </c>
      <c r="BS69" s="55">
        <v>30910000</v>
      </c>
      <c r="BT69" s="245">
        <v>27030000</v>
      </c>
      <c r="BU69" s="799">
        <f>21000000-3357205</f>
        <v>17642795</v>
      </c>
      <c r="BV69" s="353">
        <v>21445000</v>
      </c>
      <c r="BW69" s="809">
        <v>12816338</v>
      </c>
    </row>
    <row r="70" spans="1:75" x14ac:dyDescent="0.25">
      <c r="A70" s="54" t="s">
        <v>50</v>
      </c>
      <c r="B70" s="446" t="s">
        <v>159</v>
      </c>
      <c r="C70" s="55">
        <v>456000</v>
      </c>
      <c r="D70" s="55">
        <v>447985</v>
      </c>
      <c r="E70" s="55">
        <v>456000</v>
      </c>
      <c r="F70" s="65">
        <v>125320</v>
      </c>
      <c r="G70" s="65">
        <v>1005650</v>
      </c>
      <c r="H70" s="65">
        <v>495345</v>
      </c>
      <c r="I70" s="65">
        <f t="shared" si="1"/>
        <v>540376.36363636365</v>
      </c>
      <c r="J70" s="55">
        <v>480000</v>
      </c>
      <c r="K70" s="55">
        <v>480000</v>
      </c>
      <c r="L70" s="65">
        <v>480000</v>
      </c>
      <c r="M70" s="1">
        <f t="shared" si="2"/>
        <v>88.826979176129754</v>
      </c>
      <c r="N70" s="55">
        <v>480000</v>
      </c>
      <c r="O70" s="55">
        <v>239980</v>
      </c>
      <c r="P70" s="55">
        <v>239980</v>
      </c>
      <c r="Q70" s="55">
        <v>480000</v>
      </c>
      <c r="R70" s="55">
        <v>490000</v>
      </c>
      <c r="S70" s="55">
        <v>489420</v>
      </c>
      <c r="T70" s="55">
        <v>480000</v>
      </c>
      <c r="U70" s="69">
        <f t="shared" si="3"/>
        <v>480000</v>
      </c>
      <c r="V70" s="69">
        <f t="shared" si="4"/>
        <v>480000</v>
      </c>
      <c r="W70" s="122">
        <f t="shared" si="11"/>
        <v>1.019625</v>
      </c>
      <c r="Y70" s="207">
        <f t="shared" si="5"/>
        <v>0.98075272771852395</v>
      </c>
      <c r="Z70" s="69">
        <f t="shared" si="6"/>
        <v>480000</v>
      </c>
      <c r="AA70" s="55">
        <v>0</v>
      </c>
      <c r="AB70" s="223">
        <v>2000</v>
      </c>
      <c r="AC70" s="55">
        <v>2000</v>
      </c>
      <c r="AD70" s="122">
        <f t="shared" si="20"/>
        <v>0.41666666666666669</v>
      </c>
      <c r="AE70" s="122"/>
      <c r="AF70" s="55">
        <v>480000</v>
      </c>
      <c r="AG70" s="222">
        <v>402010</v>
      </c>
      <c r="AH70" s="69">
        <f t="shared" si="32"/>
        <v>482412</v>
      </c>
      <c r="AI70" s="258">
        <f t="shared" si="33"/>
        <v>492060.24</v>
      </c>
      <c r="AJ70" s="230">
        <v>480000</v>
      </c>
      <c r="AK70" s="69">
        <f t="shared" si="7"/>
        <v>480000</v>
      </c>
      <c r="AM70" s="349">
        <v>481965</v>
      </c>
      <c r="AN70" s="349">
        <v>480000</v>
      </c>
      <c r="AO70" s="354"/>
      <c r="AP70" s="65">
        <v>480000</v>
      </c>
      <c r="AQ70" s="222">
        <v>0</v>
      </c>
      <c r="AR70" s="65">
        <f t="shared" si="8"/>
        <v>480000</v>
      </c>
      <c r="AS70" s="54">
        <f t="shared" si="12"/>
        <v>0</v>
      </c>
      <c r="AT70" s="65">
        <v>400005</v>
      </c>
      <c r="AU70" s="55">
        <f>AP70-AT70</f>
        <v>79995</v>
      </c>
      <c r="AV70" s="55">
        <f>(AU70/AP70*100)</f>
        <v>16.665625000000002</v>
      </c>
      <c r="AW70" s="367">
        <v>480000</v>
      </c>
      <c r="AX70" s="349">
        <v>480000</v>
      </c>
      <c r="AY70" s="69">
        <f t="shared" si="9"/>
        <v>480000</v>
      </c>
      <c r="AZ70" s="456">
        <v>200000</v>
      </c>
      <c r="BA70" s="456">
        <v>200000</v>
      </c>
      <c r="BB70" s="501">
        <v>200000</v>
      </c>
      <c r="BC70" s="501">
        <v>200000</v>
      </c>
      <c r="BD70" s="501">
        <v>0</v>
      </c>
      <c r="BE70" s="501"/>
      <c r="BF70" s="221"/>
      <c r="BG70" s="515">
        <f t="shared" si="13"/>
        <v>0</v>
      </c>
      <c r="BH70" s="569">
        <v>0</v>
      </c>
      <c r="BI70" s="222"/>
      <c r="BJ70" s="55"/>
      <c r="BK70" s="65"/>
      <c r="BL70" s="69">
        <f t="shared" si="10"/>
        <v>0</v>
      </c>
      <c r="BM70" s="55"/>
      <c r="BN70" s="55"/>
      <c r="BO70" s="646"/>
      <c r="BP70" s="55">
        <f t="shared" si="34"/>
        <v>0</v>
      </c>
      <c r="BQ70" s="69">
        <f t="shared" si="35"/>
        <v>0</v>
      </c>
      <c r="BR70" s="55"/>
      <c r="BS70" s="55"/>
      <c r="BT70" s="223"/>
      <c r="BU70" s="353">
        <v>360000</v>
      </c>
      <c r="BV70" s="353">
        <v>45000</v>
      </c>
      <c r="BW70" s="809"/>
    </row>
    <row r="71" spans="1:75" x14ac:dyDescent="0.25">
      <c r="A71" s="54" t="s">
        <v>257</v>
      </c>
      <c r="B71" s="446" t="s">
        <v>258</v>
      </c>
      <c r="C71" s="55"/>
      <c r="D71" s="55"/>
      <c r="E71" s="55"/>
      <c r="F71" s="65"/>
      <c r="G71" s="65"/>
      <c r="H71" s="65"/>
      <c r="I71" s="65">
        <f t="shared" si="1"/>
        <v>0</v>
      </c>
      <c r="J71" s="55"/>
      <c r="K71" s="55"/>
      <c r="L71" s="65"/>
      <c r="M71" s="1">
        <f t="shared" si="2"/>
        <v>0</v>
      </c>
      <c r="N71" s="55"/>
      <c r="O71" s="55"/>
      <c r="P71" s="55"/>
      <c r="Q71" s="55"/>
      <c r="R71" s="55"/>
      <c r="S71" s="55"/>
      <c r="T71" s="55"/>
      <c r="U71" s="69">
        <f t="shared" si="3"/>
        <v>0</v>
      </c>
      <c r="V71" s="69">
        <f t="shared" si="4"/>
        <v>0</v>
      </c>
      <c r="W71" s="122"/>
      <c r="Y71" s="207" t="e">
        <f t="shared" si="5"/>
        <v>#DIV/0!</v>
      </c>
      <c r="Z71" s="69">
        <f t="shared" si="6"/>
        <v>0</v>
      </c>
      <c r="AA71" s="55"/>
      <c r="AB71" s="223"/>
      <c r="AC71" s="55"/>
      <c r="AD71" s="122"/>
      <c r="AE71" s="122"/>
      <c r="AH71" s="69">
        <f t="shared" si="32"/>
        <v>0</v>
      </c>
      <c r="AI71" s="258">
        <f t="shared" si="33"/>
        <v>0</v>
      </c>
      <c r="AK71" s="69">
        <f t="shared" si="7"/>
        <v>0</v>
      </c>
      <c r="AM71" s="349"/>
      <c r="AN71" s="349"/>
      <c r="AO71" s="354"/>
      <c r="AR71" s="65">
        <f t="shared" si="8"/>
        <v>0</v>
      </c>
      <c r="AS71" s="54"/>
      <c r="AT71" s="65"/>
      <c r="AU71" s="55"/>
      <c r="AV71" s="55"/>
      <c r="AW71" s="367"/>
      <c r="AX71" s="349"/>
      <c r="AY71" s="69">
        <f t="shared" ref="AY71:AY101" si="42">AX71</f>
        <v>0</v>
      </c>
      <c r="AZ71" s="424"/>
      <c r="BA71" s="424"/>
      <c r="BB71" s="501"/>
      <c r="BE71" s="501"/>
      <c r="BF71" s="221"/>
      <c r="BG71" s="515">
        <f t="shared" si="13"/>
        <v>0</v>
      </c>
      <c r="BH71" s="569"/>
      <c r="BI71" s="222"/>
      <c r="BJ71" s="55"/>
      <c r="BK71" s="65"/>
      <c r="BL71" s="69">
        <f t="shared" ref="BL71:BL101" si="43">BK71/10*12</f>
        <v>0</v>
      </c>
      <c r="BM71" s="55"/>
      <c r="BN71" s="55"/>
      <c r="BO71" s="646"/>
      <c r="BP71" s="55">
        <f t="shared" si="34"/>
        <v>0</v>
      </c>
      <c r="BQ71" s="69">
        <f t="shared" si="35"/>
        <v>0</v>
      </c>
      <c r="BR71" s="55"/>
      <c r="BS71" s="55"/>
      <c r="BT71" s="223"/>
      <c r="BU71" s="353"/>
      <c r="BV71" s="353"/>
      <c r="BW71" s="809"/>
    </row>
    <row r="72" spans="1:75" x14ac:dyDescent="0.25">
      <c r="A72" s="54" t="s">
        <v>51</v>
      </c>
      <c r="B72" s="446" t="s">
        <v>160</v>
      </c>
      <c r="C72" s="55">
        <v>2082500</v>
      </c>
      <c r="D72" s="55">
        <v>2121679</v>
      </c>
      <c r="E72" s="55">
        <v>2215100</v>
      </c>
      <c r="F72" s="65">
        <v>2033538</v>
      </c>
      <c r="G72" s="65">
        <v>2432868</v>
      </c>
      <c r="H72" s="65">
        <v>2140810</v>
      </c>
      <c r="I72" s="65">
        <f t="shared" si="1"/>
        <v>2335429.0909090908</v>
      </c>
      <c r="J72" s="55">
        <v>3006140.512820513</v>
      </c>
      <c r="K72" s="55">
        <v>2841240.512820513</v>
      </c>
      <c r="L72" s="65">
        <f>SUM(L56:L69)*0.17+8000000*0.18</f>
        <v>5641240.5128205186</v>
      </c>
      <c r="M72" s="1">
        <f t="shared" si="2"/>
        <v>241.55049428730911</v>
      </c>
      <c r="N72" s="55">
        <v>4641241</v>
      </c>
      <c r="O72" s="55">
        <v>2313610</v>
      </c>
      <c r="P72" s="55">
        <v>2478835</v>
      </c>
      <c r="Q72" s="55">
        <v>7294320</v>
      </c>
      <c r="R72" s="55">
        <v>3169520</v>
      </c>
      <c r="S72" s="55">
        <v>2999768</v>
      </c>
      <c r="T72" s="55">
        <f>SUM(T56:T69)*0.21</f>
        <v>5673360</v>
      </c>
      <c r="U72" s="55">
        <f>SUM(U56:U69)*0.21</f>
        <v>5673360</v>
      </c>
      <c r="V72" s="55">
        <f>SUM(V56:V69)*0.21</f>
        <v>5673360</v>
      </c>
      <c r="W72" s="122">
        <f t="shared" si="11"/>
        <v>0.52874628086354469</v>
      </c>
      <c r="X72" s="52"/>
      <c r="Y72" s="207">
        <f t="shared" si="5"/>
        <v>1.8912662579239461</v>
      </c>
      <c r="Z72" s="69">
        <f>SUM(Z56:Z71)*0.15</f>
        <v>4274400</v>
      </c>
      <c r="AA72" s="55">
        <v>1143177</v>
      </c>
      <c r="AB72" s="223">
        <v>1543299</v>
      </c>
      <c r="AC72" s="55">
        <v>1781603</v>
      </c>
      <c r="AD72" s="122">
        <f t="shared" si="20"/>
        <v>41.680773909788513</v>
      </c>
      <c r="AE72" s="122"/>
      <c r="AF72" s="55">
        <v>3797400</v>
      </c>
      <c r="AG72" s="222">
        <v>1932918</v>
      </c>
      <c r="AH72" s="69">
        <f t="shared" si="32"/>
        <v>2319501.5999999996</v>
      </c>
      <c r="AI72" s="258">
        <f t="shared" si="33"/>
        <v>2365891.6319999998</v>
      </c>
      <c r="AJ72" s="230">
        <v>4600000</v>
      </c>
      <c r="AK72" s="69">
        <f>(SUM(AK56:AK71)*0.11)</f>
        <v>3266450</v>
      </c>
      <c r="AL72" s="52"/>
      <c r="AM72" s="351">
        <v>2493521</v>
      </c>
      <c r="AN72" s="349">
        <v>3266450</v>
      </c>
      <c r="AO72" s="354">
        <v>741554</v>
      </c>
      <c r="AP72" s="65">
        <v>3266450</v>
      </c>
      <c r="AQ72" s="222">
        <v>1609313</v>
      </c>
      <c r="AR72" s="221">
        <f t="shared" ref="AR72:AR102" si="44">AP72-AQ72</f>
        <v>1657137</v>
      </c>
      <c r="AS72" s="54">
        <f t="shared" ref="AS72:AS93" si="45">AQ72/AP72*100</f>
        <v>49.267951445759159</v>
      </c>
      <c r="AT72" s="65">
        <v>1687015</v>
      </c>
      <c r="AU72" s="55">
        <f>AP72-AT72</f>
        <v>1579435</v>
      </c>
      <c r="AV72" s="55">
        <f>(AU72/AP72*100)</f>
        <v>48.353258124263341</v>
      </c>
      <c r="AW72" s="367">
        <v>3266450</v>
      </c>
      <c r="AX72" s="349">
        <v>3266450</v>
      </c>
      <c r="AY72" s="69">
        <f t="shared" si="42"/>
        <v>3266450</v>
      </c>
      <c r="AZ72" s="456">
        <v>2984544</v>
      </c>
      <c r="BA72" s="456">
        <v>2984544</v>
      </c>
      <c r="BB72" s="501">
        <v>2984544</v>
      </c>
      <c r="BC72" s="501">
        <v>2478920</v>
      </c>
      <c r="BD72" s="501">
        <v>761683</v>
      </c>
      <c r="BE72" s="501">
        <v>1372145</v>
      </c>
      <c r="BF72" s="221">
        <v>1434889</v>
      </c>
      <c r="BG72" s="515">
        <f t="shared" si="13"/>
        <v>1721866.7999999998</v>
      </c>
      <c r="BH72" s="569">
        <v>2935000</v>
      </c>
      <c r="BI72" s="222">
        <v>2935000</v>
      </c>
      <c r="BJ72" s="55">
        <v>1031627</v>
      </c>
      <c r="BK72" s="65">
        <v>1530896</v>
      </c>
      <c r="BL72" s="69">
        <f t="shared" si="43"/>
        <v>1837075.2000000002</v>
      </c>
      <c r="BM72" s="55">
        <f>SUM(BM56:BM71)*0.14+576000</f>
        <v>4300000</v>
      </c>
      <c r="BN72" s="55">
        <f>SUM(BN56:BN71)*0.14+576000</f>
        <v>4300000</v>
      </c>
      <c r="BO72" s="646">
        <v>1791657</v>
      </c>
      <c r="BP72" s="55">
        <f t="shared" si="34"/>
        <v>2149988.4000000004</v>
      </c>
      <c r="BQ72" s="69">
        <f t="shared" si="35"/>
        <v>2364987.2400000007</v>
      </c>
      <c r="BR72" s="55">
        <v>2000000</v>
      </c>
      <c r="BS72" s="55">
        <v>2000000</v>
      </c>
      <c r="BT72" s="223">
        <v>2000000</v>
      </c>
      <c r="BU72" s="353">
        <v>4471600</v>
      </c>
      <c r="BV72" s="353">
        <v>4500000</v>
      </c>
      <c r="BW72" s="809"/>
    </row>
    <row r="73" spans="1:75" x14ac:dyDescent="0.25">
      <c r="A73" s="54" t="s">
        <v>237</v>
      </c>
      <c r="B73" s="446" t="s">
        <v>238</v>
      </c>
      <c r="C73" s="55">
        <v>0</v>
      </c>
      <c r="D73" s="55"/>
      <c r="E73" s="55"/>
      <c r="F73" s="65"/>
      <c r="G73" s="65">
        <v>150000</v>
      </c>
      <c r="H73" s="65">
        <v>150000</v>
      </c>
      <c r="I73" s="65">
        <f t="shared" si="1"/>
        <v>163636.36363636365</v>
      </c>
      <c r="J73" s="55"/>
      <c r="K73" s="55"/>
      <c r="L73" s="65"/>
      <c r="M73" s="1">
        <f t="shared" si="2"/>
        <v>0</v>
      </c>
      <c r="N73" s="55"/>
      <c r="O73" s="55"/>
      <c r="P73" s="55"/>
      <c r="Q73" s="55"/>
      <c r="R73" s="55">
        <v>90000</v>
      </c>
      <c r="S73" s="55"/>
      <c r="T73" s="55"/>
      <c r="U73" s="69">
        <f t="shared" si="3"/>
        <v>0</v>
      </c>
      <c r="V73" s="69">
        <f t="shared" si="4"/>
        <v>0</v>
      </c>
      <c r="W73" s="122"/>
      <c r="Y73" s="207" t="e">
        <f t="shared" si="5"/>
        <v>#DIV/0!</v>
      </c>
      <c r="Z73" s="69">
        <f t="shared" si="6"/>
        <v>0</v>
      </c>
      <c r="AA73" s="55">
        <v>99000</v>
      </c>
      <c r="AB73" s="223">
        <v>99000</v>
      </c>
      <c r="AC73" s="55">
        <v>99000</v>
      </c>
      <c r="AD73" s="122"/>
      <c r="AE73" s="122"/>
      <c r="AF73" s="55">
        <v>189000</v>
      </c>
      <c r="AG73" s="222">
        <v>99000</v>
      </c>
      <c r="AH73" s="69">
        <f t="shared" si="32"/>
        <v>118800</v>
      </c>
      <c r="AI73" s="258">
        <f t="shared" si="33"/>
        <v>121176</v>
      </c>
      <c r="AK73" s="69">
        <f t="shared" ref="AK73:AK101" si="46">AJ73</f>
        <v>0</v>
      </c>
      <c r="AM73" s="349">
        <v>99000</v>
      </c>
      <c r="AN73" s="349"/>
      <c r="AO73" s="354"/>
      <c r="AR73" s="65">
        <f t="shared" si="44"/>
        <v>0</v>
      </c>
      <c r="AS73" s="54"/>
      <c r="AT73" s="65"/>
      <c r="AU73" s="55"/>
      <c r="AV73" s="55"/>
      <c r="AW73" s="367"/>
      <c r="AX73" s="349"/>
      <c r="AY73" s="69">
        <f t="shared" si="42"/>
        <v>0</v>
      </c>
      <c r="AZ73" s="55">
        <f t="shared" ref="AZ73:AZ75" si="47">AY73</f>
        <v>0</v>
      </c>
      <c r="BA73" s="67">
        <f t="shared" ref="BA73:BA75" si="48">AZ73</f>
        <v>0</v>
      </c>
      <c r="BB73" s="501">
        <v>0</v>
      </c>
      <c r="BC73" s="501">
        <v>505624</v>
      </c>
      <c r="BD73" s="501">
        <v>294312</v>
      </c>
      <c r="BE73" s="501">
        <v>294312</v>
      </c>
      <c r="BF73" s="221">
        <v>294312</v>
      </c>
      <c r="BG73" s="515">
        <f t="shared" si="13"/>
        <v>353174.4</v>
      </c>
      <c r="BH73" s="569">
        <v>300000</v>
      </c>
      <c r="BI73" s="222">
        <v>300000</v>
      </c>
      <c r="BJ73" s="55">
        <v>16000</v>
      </c>
      <c r="BK73" s="65">
        <v>359000</v>
      </c>
      <c r="BL73" s="69">
        <f t="shared" si="43"/>
        <v>430800</v>
      </c>
      <c r="BM73" s="55">
        <v>0</v>
      </c>
      <c r="BN73" s="55">
        <v>0</v>
      </c>
      <c r="BO73" s="646">
        <v>518000</v>
      </c>
      <c r="BP73" s="55">
        <f t="shared" si="34"/>
        <v>621600</v>
      </c>
      <c r="BQ73" s="69">
        <f t="shared" si="35"/>
        <v>683760</v>
      </c>
      <c r="BR73" s="55"/>
      <c r="BS73" s="55"/>
      <c r="BT73" s="223"/>
      <c r="BU73" s="353">
        <v>752000</v>
      </c>
      <c r="BV73" s="353"/>
      <c r="BW73" s="809"/>
    </row>
    <row r="74" spans="1:75" x14ac:dyDescent="0.25">
      <c r="A74" s="54" t="s">
        <v>52</v>
      </c>
      <c r="B74" s="58" t="s">
        <v>199</v>
      </c>
      <c r="C74" s="55">
        <v>0</v>
      </c>
      <c r="D74" s="55">
        <v>0</v>
      </c>
      <c r="E74" s="55">
        <v>0</v>
      </c>
      <c r="F74" s="65"/>
      <c r="G74" s="65"/>
      <c r="H74" s="65"/>
      <c r="I74" s="65">
        <f t="shared" si="1"/>
        <v>0</v>
      </c>
      <c r="J74" s="55"/>
      <c r="K74" s="55"/>
      <c r="L74" s="65"/>
      <c r="M74" s="1">
        <f t="shared" si="2"/>
        <v>0</v>
      </c>
      <c r="N74" s="55"/>
      <c r="O74" s="55"/>
      <c r="P74" s="55"/>
      <c r="Q74" s="55"/>
      <c r="R74" s="55"/>
      <c r="S74" s="55"/>
      <c r="T74" s="55"/>
      <c r="U74" s="69">
        <f t="shared" si="3"/>
        <v>0</v>
      </c>
      <c r="V74" s="69">
        <f t="shared" si="4"/>
        <v>0</v>
      </c>
      <c r="W74" s="122"/>
      <c r="Y74" s="207" t="e">
        <f t="shared" si="5"/>
        <v>#DIV/0!</v>
      </c>
      <c r="Z74" s="69">
        <f t="shared" si="6"/>
        <v>0</v>
      </c>
      <c r="AA74" s="55"/>
      <c r="AB74" s="223"/>
      <c r="AC74" s="55"/>
      <c r="AD74" s="122"/>
      <c r="AE74" s="122"/>
      <c r="AH74" s="69">
        <f t="shared" si="32"/>
        <v>0</v>
      </c>
      <c r="AI74" s="258">
        <f t="shared" si="33"/>
        <v>0</v>
      </c>
      <c r="AK74" s="69">
        <f t="shared" si="46"/>
        <v>0</v>
      </c>
      <c r="AM74" s="349"/>
      <c r="AN74" s="349"/>
      <c r="AO74" s="354"/>
      <c r="AR74" s="65">
        <f t="shared" si="44"/>
        <v>0</v>
      </c>
      <c r="AS74" s="54"/>
      <c r="AT74" s="65"/>
      <c r="AU74" s="55"/>
      <c r="AV74" s="55"/>
      <c r="AW74" s="367"/>
      <c r="AX74" s="349"/>
      <c r="AY74" s="69">
        <f t="shared" si="42"/>
        <v>0</v>
      </c>
      <c r="AZ74" s="55">
        <f t="shared" si="47"/>
        <v>0</v>
      </c>
      <c r="BA74" s="67">
        <f t="shared" si="48"/>
        <v>0</v>
      </c>
      <c r="BB74" s="501"/>
      <c r="BE74" s="501"/>
      <c r="BF74" s="221"/>
      <c r="BG74" s="515">
        <f t="shared" si="13"/>
        <v>0</v>
      </c>
      <c r="BH74" s="569"/>
      <c r="BI74" s="222"/>
      <c r="BJ74" s="55"/>
      <c r="BK74" s="65"/>
      <c r="BL74" s="69">
        <f t="shared" si="43"/>
        <v>0</v>
      </c>
      <c r="BM74" s="55"/>
      <c r="BN74" s="55"/>
      <c r="BO74" s="55"/>
      <c r="BP74" s="55">
        <f t="shared" si="34"/>
        <v>0</v>
      </c>
      <c r="BQ74" s="69">
        <f t="shared" si="35"/>
        <v>0</v>
      </c>
      <c r="BR74" s="55"/>
      <c r="BS74" s="55"/>
      <c r="BT74" s="223"/>
      <c r="BU74" s="353"/>
      <c r="BV74" s="353"/>
      <c r="BW74" s="809"/>
    </row>
    <row r="75" spans="1:75" x14ac:dyDescent="0.25">
      <c r="A75" s="54" t="s">
        <v>562</v>
      </c>
      <c r="B75" s="58" t="s">
        <v>563</v>
      </c>
      <c r="C75" s="55"/>
      <c r="D75" s="55"/>
      <c r="E75" s="55"/>
      <c r="F75" s="65"/>
      <c r="G75" s="65"/>
      <c r="H75" s="65"/>
      <c r="I75" s="65"/>
      <c r="J75" s="55"/>
      <c r="K75" s="55"/>
      <c r="L75" s="65"/>
      <c r="N75" s="55"/>
      <c r="O75" s="55"/>
      <c r="P75" s="55"/>
      <c r="Q75" s="55"/>
      <c r="R75" s="55"/>
      <c r="S75" s="55"/>
      <c r="T75" s="55"/>
      <c r="U75" s="69"/>
      <c r="V75" s="69"/>
      <c r="W75" s="122"/>
      <c r="Y75" s="207"/>
      <c r="Z75" s="69"/>
      <c r="AA75" s="55"/>
      <c r="AB75" s="223"/>
      <c r="AC75" s="55"/>
      <c r="AD75" s="122"/>
      <c r="AE75" s="122"/>
      <c r="AH75" s="69"/>
      <c r="AI75" s="258"/>
      <c r="AK75" s="69"/>
      <c r="AM75" s="349"/>
      <c r="AN75" s="349"/>
      <c r="AO75" s="354"/>
      <c r="AS75" s="54"/>
      <c r="AT75" s="65"/>
      <c r="AU75" s="55"/>
      <c r="AV75" s="55"/>
      <c r="AW75" s="367"/>
      <c r="AX75" s="349"/>
      <c r="AY75" s="69">
        <f t="shared" si="42"/>
        <v>0</v>
      </c>
      <c r="AZ75" s="55">
        <f t="shared" si="47"/>
        <v>0</v>
      </c>
      <c r="BA75" s="67">
        <f t="shared" si="48"/>
        <v>0</v>
      </c>
      <c r="BB75" s="501"/>
      <c r="BE75" s="501"/>
      <c r="BF75" s="221"/>
      <c r="BG75" s="515">
        <f t="shared" si="13"/>
        <v>0</v>
      </c>
      <c r="BH75" s="569"/>
      <c r="BI75" s="222"/>
      <c r="BJ75" s="55"/>
      <c r="BK75" s="65"/>
      <c r="BL75" s="69">
        <f t="shared" si="43"/>
        <v>0</v>
      </c>
      <c r="BM75" s="55"/>
      <c r="BN75" s="55"/>
      <c r="BO75" s="55"/>
      <c r="BP75" s="55">
        <f t="shared" si="34"/>
        <v>0</v>
      </c>
      <c r="BQ75" s="69">
        <f t="shared" si="35"/>
        <v>0</v>
      </c>
      <c r="BR75" s="55"/>
      <c r="BS75" s="55"/>
      <c r="BT75" s="223"/>
      <c r="BU75" s="353"/>
      <c r="BV75" s="353"/>
      <c r="BW75" s="809"/>
    </row>
    <row r="76" spans="1:75" x14ac:dyDescent="0.25">
      <c r="A76" s="54" t="s">
        <v>53</v>
      </c>
      <c r="B76" s="446" t="s">
        <v>161</v>
      </c>
      <c r="C76" s="55">
        <v>21000</v>
      </c>
      <c r="D76" s="55">
        <v>39309</v>
      </c>
      <c r="E76" s="55">
        <v>21000</v>
      </c>
      <c r="F76" s="65">
        <f>27+150000</f>
        <v>150027</v>
      </c>
      <c r="G76" s="65">
        <v>8977</v>
      </c>
      <c r="H76" s="65">
        <v>27</v>
      </c>
      <c r="I76" s="65">
        <f t="shared" si="1"/>
        <v>29.454545454545453</v>
      </c>
      <c r="J76" s="55">
        <v>21000</v>
      </c>
      <c r="K76" s="55">
        <v>21000</v>
      </c>
      <c r="L76" s="65">
        <v>21000</v>
      </c>
      <c r="M76" s="1">
        <f t="shared" si="2"/>
        <v>71296.296296296307</v>
      </c>
      <c r="N76" s="55">
        <v>21000</v>
      </c>
      <c r="O76" s="55"/>
      <c r="P76" s="55"/>
      <c r="Q76" s="55">
        <v>21000</v>
      </c>
      <c r="R76" s="55">
        <v>11000</v>
      </c>
      <c r="S76" s="55"/>
      <c r="T76" s="55">
        <v>21000</v>
      </c>
      <c r="U76" s="69">
        <f t="shared" si="3"/>
        <v>21000</v>
      </c>
      <c r="V76" s="69">
        <f t="shared" si="4"/>
        <v>21000</v>
      </c>
      <c r="W76" s="122">
        <f t="shared" si="11"/>
        <v>0</v>
      </c>
      <c r="Y76" s="207" t="e">
        <f t="shared" si="5"/>
        <v>#DIV/0!</v>
      </c>
      <c r="Z76" s="69">
        <f t="shared" si="6"/>
        <v>21000</v>
      </c>
      <c r="AA76" s="55">
        <v>0</v>
      </c>
      <c r="AB76" s="223">
        <v>0</v>
      </c>
      <c r="AC76" s="55"/>
      <c r="AD76" s="122">
        <f t="shared" si="20"/>
        <v>0</v>
      </c>
      <c r="AE76" s="122"/>
      <c r="AF76" s="55">
        <v>21000</v>
      </c>
      <c r="AH76" s="69">
        <f t="shared" si="32"/>
        <v>0</v>
      </c>
      <c r="AI76" s="258">
        <f t="shared" si="33"/>
        <v>0</v>
      </c>
      <c r="AJ76" s="230">
        <v>40000</v>
      </c>
      <c r="AK76" s="69">
        <f t="shared" si="46"/>
        <v>40000</v>
      </c>
      <c r="AM76" s="349"/>
      <c r="AN76" s="349">
        <v>40000</v>
      </c>
      <c r="AO76" s="354"/>
      <c r="AR76" s="65">
        <f t="shared" si="44"/>
        <v>0</v>
      </c>
      <c r="AS76" s="54"/>
      <c r="AT76" s="65"/>
      <c r="AU76" s="55"/>
      <c r="AV76" s="55"/>
      <c r="AW76" s="367">
        <v>40000</v>
      </c>
      <c r="AX76" s="349">
        <v>40000</v>
      </c>
      <c r="AY76" s="69">
        <f t="shared" si="42"/>
        <v>40000</v>
      </c>
      <c r="AZ76" s="55">
        <f t="shared" ref="AZ76:AZ89" si="49">AY76</f>
        <v>40000</v>
      </c>
      <c r="BA76" s="67">
        <f t="shared" ref="BA76:BA89" si="50">AZ76</f>
        <v>40000</v>
      </c>
      <c r="BB76" s="501">
        <v>40000</v>
      </c>
      <c r="BC76" s="501">
        <v>40000</v>
      </c>
      <c r="BD76" s="501">
        <v>0</v>
      </c>
      <c r="BE76" s="501">
        <v>0</v>
      </c>
      <c r="BF76" s="221"/>
      <c r="BG76" s="515">
        <f t="shared" si="13"/>
        <v>0</v>
      </c>
      <c r="BH76" s="569"/>
      <c r="BI76" s="222"/>
      <c r="BJ76" s="55"/>
      <c r="BK76" s="65"/>
      <c r="BL76" s="69">
        <f t="shared" si="43"/>
        <v>0</v>
      </c>
      <c r="BM76" s="55">
        <v>0</v>
      </c>
      <c r="BN76" s="55">
        <v>0</v>
      </c>
      <c r="BO76" s="55">
        <v>105540</v>
      </c>
      <c r="BP76" s="55">
        <f t="shared" si="34"/>
        <v>126648</v>
      </c>
      <c r="BQ76" s="69">
        <f t="shared" si="35"/>
        <v>139312.80000000002</v>
      </c>
      <c r="BR76" s="55">
        <v>100000</v>
      </c>
      <c r="BS76" s="55">
        <v>100000</v>
      </c>
      <c r="BT76" s="223">
        <v>100000</v>
      </c>
      <c r="BU76" s="353">
        <v>100000</v>
      </c>
      <c r="BV76" s="353">
        <v>10000</v>
      </c>
      <c r="BW76" s="809"/>
    </row>
    <row r="77" spans="1:75" x14ac:dyDescent="0.25">
      <c r="A77" s="54" t="s">
        <v>54</v>
      </c>
      <c r="B77" s="58" t="s">
        <v>200</v>
      </c>
      <c r="C77" s="55">
        <v>0</v>
      </c>
      <c r="D77" s="55">
        <v>0</v>
      </c>
      <c r="E77" s="55">
        <v>0</v>
      </c>
      <c r="F77" s="65"/>
      <c r="G77" s="65"/>
      <c r="H77" s="65"/>
      <c r="I77" s="65">
        <f t="shared" si="1"/>
        <v>0</v>
      </c>
      <c r="J77" s="55"/>
      <c r="K77" s="55"/>
      <c r="L77" s="65"/>
      <c r="M77" s="1">
        <f t="shared" si="2"/>
        <v>0</v>
      </c>
      <c r="N77" s="55"/>
      <c r="O77" s="55"/>
      <c r="P77" s="55"/>
      <c r="Q77" s="55"/>
      <c r="R77" s="55"/>
      <c r="S77" s="55"/>
      <c r="T77" s="55"/>
      <c r="U77" s="69">
        <f t="shared" ref="U77:U101" si="51">T77</f>
        <v>0</v>
      </c>
      <c r="V77" s="69">
        <f t="shared" ref="V77:V101" si="52">T77</f>
        <v>0</v>
      </c>
      <c r="W77" s="122"/>
      <c r="Y77" s="207" t="e">
        <f t="shared" ref="Y77:Y101" si="53">V77/S77</f>
        <v>#DIV/0!</v>
      </c>
      <c r="Z77" s="69">
        <f t="shared" ref="Z77:Z101" si="54">V77</f>
        <v>0</v>
      </c>
      <c r="AA77" s="55"/>
      <c r="AB77" s="223"/>
      <c r="AC77" s="55"/>
      <c r="AD77" s="121"/>
      <c r="AE77" s="121"/>
      <c r="AF77" s="65"/>
      <c r="AH77" s="69">
        <f t="shared" si="32"/>
        <v>0</v>
      </c>
      <c r="AI77" s="258">
        <f t="shared" si="33"/>
        <v>0</v>
      </c>
      <c r="AK77" s="69">
        <f t="shared" si="46"/>
        <v>0</v>
      </c>
      <c r="AM77" s="349"/>
      <c r="AN77" s="349"/>
      <c r="AO77" s="354"/>
      <c r="AR77" s="65">
        <f t="shared" si="44"/>
        <v>0</v>
      </c>
      <c r="AS77" s="54"/>
      <c r="AT77" s="65"/>
      <c r="AU77" s="55"/>
      <c r="AV77" s="55"/>
      <c r="AW77" s="367"/>
      <c r="AX77" s="349"/>
      <c r="AY77" s="69">
        <f t="shared" si="42"/>
        <v>0</v>
      </c>
      <c r="AZ77" s="55">
        <f t="shared" si="49"/>
        <v>0</v>
      </c>
      <c r="BA77" s="67">
        <f t="shared" si="50"/>
        <v>0</v>
      </c>
      <c r="BB77" s="501"/>
      <c r="BE77" s="501"/>
      <c r="BF77" s="221"/>
      <c r="BG77" s="515">
        <f t="shared" si="13"/>
        <v>0</v>
      </c>
      <c r="BH77" s="569"/>
      <c r="BI77" s="222"/>
      <c r="BJ77" s="55"/>
      <c r="BK77" s="65"/>
      <c r="BL77" s="69">
        <f t="shared" si="43"/>
        <v>0</v>
      </c>
      <c r="BM77" s="55"/>
      <c r="BN77" s="55"/>
      <c r="BO77" s="55"/>
      <c r="BP77" s="55">
        <f t="shared" si="34"/>
        <v>0</v>
      </c>
      <c r="BQ77" s="69">
        <f t="shared" si="35"/>
        <v>0</v>
      </c>
      <c r="BR77" s="55"/>
      <c r="BS77" s="55"/>
      <c r="BT77" s="223"/>
      <c r="BU77" s="353"/>
      <c r="BV77" s="353"/>
      <c r="BW77" s="809"/>
    </row>
    <row r="78" spans="1:75" x14ac:dyDescent="0.25">
      <c r="A78" s="54" t="s">
        <v>55</v>
      </c>
      <c r="B78" s="58" t="s">
        <v>201</v>
      </c>
      <c r="C78" s="55">
        <v>0</v>
      </c>
      <c r="D78" s="55">
        <v>0</v>
      </c>
      <c r="E78" s="55">
        <v>0</v>
      </c>
      <c r="F78" s="65"/>
      <c r="G78" s="65"/>
      <c r="H78" s="65"/>
      <c r="I78" s="65">
        <f t="shared" ref="I78:I108" si="55">H78/11+H78</f>
        <v>0</v>
      </c>
      <c r="J78" s="55"/>
      <c r="K78" s="55"/>
      <c r="L78" s="65"/>
      <c r="M78" s="1">
        <f t="shared" ref="M78:M108" si="56">IF(I78&lt;&gt;0,L78/I78*100,0)</f>
        <v>0</v>
      </c>
      <c r="N78" s="55"/>
      <c r="O78" s="55"/>
      <c r="P78" s="55"/>
      <c r="Q78" s="55"/>
      <c r="R78" s="55"/>
      <c r="S78" s="55"/>
      <c r="T78" s="55"/>
      <c r="U78" s="69">
        <f t="shared" si="51"/>
        <v>0</v>
      </c>
      <c r="V78" s="69">
        <f t="shared" si="52"/>
        <v>0</v>
      </c>
      <c r="W78" s="122"/>
      <c r="Y78" s="207" t="e">
        <f t="shared" si="53"/>
        <v>#DIV/0!</v>
      </c>
      <c r="Z78" s="69">
        <f t="shared" si="54"/>
        <v>0</v>
      </c>
      <c r="AA78" s="55"/>
      <c r="AB78" s="223"/>
      <c r="AC78" s="55"/>
      <c r="AD78" s="121"/>
      <c r="AE78" s="121"/>
      <c r="AF78" s="65"/>
      <c r="AH78" s="69">
        <f t="shared" si="32"/>
        <v>0</v>
      </c>
      <c r="AI78" s="258">
        <f t="shared" si="33"/>
        <v>0</v>
      </c>
      <c r="AK78" s="69">
        <f t="shared" si="46"/>
        <v>0</v>
      </c>
      <c r="AM78" s="349"/>
      <c r="AN78" s="349"/>
      <c r="AO78" s="354"/>
      <c r="AR78" s="65">
        <f t="shared" si="44"/>
        <v>0</v>
      </c>
      <c r="AS78" s="54"/>
      <c r="AT78" s="65"/>
      <c r="AU78" s="55"/>
      <c r="AV78" s="55"/>
      <c r="AW78" s="367"/>
      <c r="AX78" s="349"/>
      <c r="AY78" s="69">
        <f t="shared" si="42"/>
        <v>0</v>
      </c>
      <c r="AZ78" s="55">
        <f t="shared" si="49"/>
        <v>0</v>
      </c>
      <c r="BA78" s="67">
        <f t="shared" si="50"/>
        <v>0</v>
      </c>
      <c r="BB78" s="501"/>
      <c r="BE78" s="501"/>
      <c r="BF78" s="221"/>
      <c r="BG78" s="515">
        <f t="shared" si="13"/>
        <v>0</v>
      </c>
      <c r="BH78" s="569"/>
      <c r="BI78" s="222"/>
      <c r="BJ78" s="55"/>
      <c r="BK78" s="65"/>
      <c r="BL78" s="69">
        <f t="shared" si="43"/>
        <v>0</v>
      </c>
      <c r="BM78" s="55"/>
      <c r="BN78" s="55"/>
      <c r="BO78" s="55"/>
      <c r="BP78" s="55">
        <f t="shared" si="34"/>
        <v>0</v>
      </c>
      <c r="BQ78" s="69">
        <f t="shared" si="35"/>
        <v>0</v>
      </c>
      <c r="BR78" s="55"/>
      <c r="BS78" s="55"/>
      <c r="BT78" s="223"/>
      <c r="BU78" s="353"/>
      <c r="BV78" s="353"/>
      <c r="BW78" s="809"/>
    </row>
    <row r="79" spans="1:75" x14ac:dyDescent="0.25">
      <c r="A79" s="54" t="s">
        <v>56</v>
      </c>
      <c r="B79" s="58" t="s">
        <v>202</v>
      </c>
      <c r="C79" s="55">
        <v>0</v>
      </c>
      <c r="D79" s="55">
        <v>0</v>
      </c>
      <c r="E79" s="55">
        <v>0</v>
      </c>
      <c r="F79" s="65"/>
      <c r="G79" s="65"/>
      <c r="H79" s="65"/>
      <c r="I79" s="65">
        <f t="shared" si="55"/>
        <v>0</v>
      </c>
      <c r="J79" s="55"/>
      <c r="K79" s="55"/>
      <c r="L79" s="65"/>
      <c r="M79" s="1">
        <f t="shared" si="56"/>
        <v>0</v>
      </c>
      <c r="N79" s="55"/>
      <c r="O79" s="55"/>
      <c r="P79" s="55"/>
      <c r="Q79" s="55"/>
      <c r="R79" s="55"/>
      <c r="S79" s="55"/>
      <c r="T79" s="55"/>
      <c r="U79" s="69">
        <f t="shared" si="51"/>
        <v>0</v>
      </c>
      <c r="V79" s="69">
        <f t="shared" si="52"/>
        <v>0</v>
      </c>
      <c r="W79" s="122"/>
      <c r="Y79" s="207" t="e">
        <f t="shared" si="53"/>
        <v>#DIV/0!</v>
      </c>
      <c r="Z79" s="69">
        <f t="shared" si="54"/>
        <v>0</v>
      </c>
      <c r="AA79" s="55"/>
      <c r="AB79" s="223"/>
      <c r="AC79" s="55"/>
      <c r="AD79" s="121"/>
      <c r="AE79" s="121"/>
      <c r="AF79" s="65"/>
      <c r="AH79" s="69">
        <f t="shared" si="32"/>
        <v>0</v>
      </c>
      <c r="AI79" s="258">
        <f t="shared" si="33"/>
        <v>0</v>
      </c>
      <c r="AK79" s="69">
        <f t="shared" si="46"/>
        <v>0</v>
      </c>
      <c r="AM79" s="349"/>
      <c r="AN79" s="349"/>
      <c r="AO79" s="354"/>
      <c r="AR79" s="65">
        <f t="shared" si="44"/>
        <v>0</v>
      </c>
      <c r="AS79" s="54"/>
      <c r="AT79" s="65"/>
      <c r="AU79" s="55"/>
      <c r="AV79" s="55"/>
      <c r="AW79" s="367"/>
      <c r="AX79" s="349"/>
      <c r="AY79" s="69">
        <f t="shared" si="42"/>
        <v>0</v>
      </c>
      <c r="AZ79" s="55">
        <f t="shared" si="49"/>
        <v>0</v>
      </c>
      <c r="BA79" s="67">
        <f t="shared" si="50"/>
        <v>0</v>
      </c>
      <c r="BB79" s="501"/>
      <c r="BE79" s="501"/>
      <c r="BF79" s="221"/>
      <c r="BG79" s="515">
        <f t="shared" si="13"/>
        <v>0</v>
      </c>
      <c r="BH79" s="569"/>
      <c r="BI79" s="222"/>
      <c r="BJ79" s="55"/>
      <c r="BK79" s="65"/>
      <c r="BL79" s="69">
        <f t="shared" si="43"/>
        <v>0</v>
      </c>
      <c r="BM79" s="55"/>
      <c r="BN79" s="55"/>
      <c r="BO79" s="55"/>
      <c r="BP79" s="55">
        <f t="shared" si="34"/>
        <v>0</v>
      </c>
      <c r="BQ79" s="69">
        <f t="shared" si="35"/>
        <v>0</v>
      </c>
      <c r="BR79" s="55"/>
      <c r="BS79" s="55"/>
      <c r="BT79" s="223"/>
      <c r="BU79" s="353"/>
      <c r="BV79" s="353"/>
      <c r="BW79" s="809"/>
    </row>
    <row r="80" spans="1:75" x14ac:dyDescent="0.25">
      <c r="A80" s="54" t="s">
        <v>57</v>
      </c>
      <c r="B80" s="58" t="s">
        <v>203</v>
      </c>
      <c r="C80" s="55">
        <v>0</v>
      </c>
      <c r="D80" s="55">
        <v>0</v>
      </c>
      <c r="E80" s="55">
        <v>0</v>
      </c>
      <c r="F80" s="65"/>
      <c r="G80" s="65"/>
      <c r="H80" s="65"/>
      <c r="I80" s="65">
        <f t="shared" si="55"/>
        <v>0</v>
      </c>
      <c r="J80" s="55"/>
      <c r="K80" s="55"/>
      <c r="L80" s="65"/>
      <c r="M80" s="1">
        <f t="shared" si="56"/>
        <v>0</v>
      </c>
      <c r="N80" s="55"/>
      <c r="O80" s="55"/>
      <c r="P80" s="55"/>
      <c r="Q80" s="55"/>
      <c r="R80" s="55"/>
      <c r="S80" s="55"/>
      <c r="T80" s="55"/>
      <c r="U80" s="69">
        <f t="shared" si="51"/>
        <v>0</v>
      </c>
      <c r="V80" s="69">
        <f t="shared" si="52"/>
        <v>0</v>
      </c>
      <c r="W80" s="122"/>
      <c r="Y80" s="207" t="e">
        <f t="shared" si="53"/>
        <v>#DIV/0!</v>
      </c>
      <c r="Z80" s="69">
        <f t="shared" si="54"/>
        <v>0</v>
      </c>
      <c r="AA80" s="55"/>
      <c r="AB80" s="223"/>
      <c r="AC80" s="55"/>
      <c r="AD80" s="121"/>
      <c r="AE80" s="121"/>
      <c r="AF80" s="65"/>
      <c r="AH80" s="69">
        <f t="shared" si="32"/>
        <v>0</v>
      </c>
      <c r="AI80" s="258">
        <f t="shared" si="33"/>
        <v>0</v>
      </c>
      <c r="AK80" s="69">
        <f t="shared" si="46"/>
        <v>0</v>
      </c>
      <c r="AM80" s="349"/>
      <c r="AN80" s="349"/>
      <c r="AO80" s="354"/>
      <c r="AR80" s="65">
        <f t="shared" si="44"/>
        <v>0</v>
      </c>
      <c r="AS80" s="54"/>
      <c r="AT80" s="65"/>
      <c r="AU80" s="55"/>
      <c r="AV80" s="55"/>
      <c r="AW80" s="367"/>
      <c r="AX80" s="349"/>
      <c r="AY80" s="69">
        <f t="shared" si="42"/>
        <v>0</v>
      </c>
      <c r="AZ80" s="55">
        <f t="shared" si="49"/>
        <v>0</v>
      </c>
      <c r="BA80" s="67">
        <f t="shared" si="50"/>
        <v>0</v>
      </c>
      <c r="BB80" s="501"/>
      <c r="BE80" s="501"/>
      <c r="BF80" s="221"/>
      <c r="BG80" s="515">
        <f t="shared" si="13"/>
        <v>0</v>
      </c>
      <c r="BH80" s="569"/>
      <c r="BI80" s="222"/>
      <c r="BJ80" s="55"/>
      <c r="BK80" s="65"/>
      <c r="BL80" s="69">
        <f t="shared" si="43"/>
        <v>0</v>
      </c>
      <c r="BM80" s="55"/>
      <c r="BN80" s="55"/>
      <c r="BO80" s="55"/>
      <c r="BP80" s="55">
        <f t="shared" si="34"/>
        <v>0</v>
      </c>
      <c r="BQ80" s="69">
        <f t="shared" si="35"/>
        <v>0</v>
      </c>
      <c r="BR80" s="55"/>
      <c r="BS80" s="55"/>
      <c r="BT80" s="223"/>
      <c r="BU80" s="353"/>
      <c r="BV80" s="353"/>
      <c r="BW80" s="809"/>
    </row>
    <row r="81" spans="1:101" x14ac:dyDescent="0.25">
      <c r="A81" s="54" t="s">
        <v>58</v>
      </c>
      <c r="B81" s="446" t="s">
        <v>162</v>
      </c>
      <c r="C81" s="55">
        <v>0</v>
      </c>
      <c r="D81" s="55">
        <v>0</v>
      </c>
      <c r="E81" s="55">
        <v>0</v>
      </c>
      <c r="F81" s="65">
        <v>0</v>
      </c>
      <c r="G81" s="65"/>
      <c r="H81" s="65"/>
      <c r="I81" s="65">
        <f t="shared" si="55"/>
        <v>0</v>
      </c>
      <c r="J81" s="55">
        <v>0</v>
      </c>
      <c r="K81" s="55">
        <v>0</v>
      </c>
      <c r="L81" s="65">
        <v>0</v>
      </c>
      <c r="M81" s="1">
        <f t="shared" si="56"/>
        <v>0</v>
      </c>
      <c r="N81" s="55"/>
      <c r="O81" s="55"/>
      <c r="P81" s="55"/>
      <c r="Q81" s="55"/>
      <c r="R81" s="55"/>
      <c r="S81" s="55"/>
      <c r="T81" s="55"/>
      <c r="U81" s="69">
        <f t="shared" si="51"/>
        <v>0</v>
      </c>
      <c r="V81" s="69">
        <f t="shared" si="52"/>
        <v>0</v>
      </c>
      <c r="W81" s="122"/>
      <c r="Y81" s="207" t="e">
        <f t="shared" si="53"/>
        <v>#DIV/0!</v>
      </c>
      <c r="Z81" s="69">
        <f t="shared" si="54"/>
        <v>0</v>
      </c>
      <c r="AA81" s="55"/>
      <c r="AB81" s="223"/>
      <c r="AC81" s="55"/>
      <c r="AD81" s="121"/>
      <c r="AE81" s="121"/>
      <c r="AF81" s="65"/>
      <c r="AH81" s="69">
        <f t="shared" si="32"/>
        <v>0</v>
      </c>
      <c r="AI81" s="258">
        <f t="shared" si="33"/>
        <v>0</v>
      </c>
      <c r="AK81" s="69">
        <f t="shared" si="46"/>
        <v>0</v>
      </c>
      <c r="AM81" s="349"/>
      <c r="AN81" s="349"/>
      <c r="AO81" s="354"/>
      <c r="AR81" s="65">
        <f t="shared" si="44"/>
        <v>0</v>
      </c>
      <c r="AS81" s="54"/>
      <c r="AT81" s="65"/>
      <c r="AU81" s="55"/>
      <c r="AV81" s="55"/>
      <c r="AW81" s="367"/>
      <c r="AX81" s="349"/>
      <c r="AY81" s="69">
        <f t="shared" si="42"/>
        <v>0</v>
      </c>
      <c r="AZ81" s="55">
        <f t="shared" si="49"/>
        <v>0</v>
      </c>
      <c r="BA81" s="67">
        <f t="shared" si="50"/>
        <v>0</v>
      </c>
      <c r="BB81" s="501"/>
      <c r="BE81" s="501"/>
      <c r="BF81" s="221"/>
      <c r="BG81" s="515">
        <f t="shared" si="13"/>
        <v>0</v>
      </c>
      <c r="BH81" s="569"/>
      <c r="BI81" s="222"/>
      <c r="BJ81" s="55"/>
      <c r="BK81" s="65"/>
      <c r="BL81" s="69">
        <f t="shared" si="43"/>
        <v>0</v>
      </c>
      <c r="BM81" s="55"/>
      <c r="BN81" s="55"/>
      <c r="BO81" s="55"/>
      <c r="BP81" s="55">
        <f t="shared" si="34"/>
        <v>0</v>
      </c>
      <c r="BQ81" s="69">
        <f t="shared" si="35"/>
        <v>0</v>
      </c>
      <c r="BR81" s="55"/>
      <c r="BS81" s="55"/>
      <c r="BT81" s="223"/>
      <c r="BU81" s="353"/>
      <c r="BV81" s="353"/>
      <c r="BW81" s="809"/>
    </row>
    <row r="82" spans="1:101" x14ac:dyDescent="0.25">
      <c r="A82" s="54" t="s">
        <v>59</v>
      </c>
      <c r="B82" s="446" t="s">
        <v>163</v>
      </c>
      <c r="C82" s="55">
        <v>0</v>
      </c>
      <c r="D82" s="55">
        <v>0</v>
      </c>
      <c r="E82" s="55">
        <v>0</v>
      </c>
      <c r="F82" s="65">
        <v>0</v>
      </c>
      <c r="G82" s="65"/>
      <c r="H82" s="65"/>
      <c r="I82" s="65">
        <f t="shared" si="55"/>
        <v>0</v>
      </c>
      <c r="J82" s="55">
        <v>0</v>
      </c>
      <c r="K82" s="55">
        <v>0</v>
      </c>
      <c r="L82" s="65">
        <v>0</v>
      </c>
      <c r="M82" s="1">
        <f t="shared" si="56"/>
        <v>0</v>
      </c>
      <c r="N82" s="55"/>
      <c r="O82" s="55"/>
      <c r="P82" s="55"/>
      <c r="Q82" s="55"/>
      <c r="R82" s="55"/>
      <c r="S82" s="55"/>
      <c r="T82" s="55"/>
      <c r="U82" s="69">
        <f t="shared" si="51"/>
        <v>0</v>
      </c>
      <c r="V82" s="69">
        <f t="shared" si="52"/>
        <v>0</v>
      </c>
      <c r="W82" s="122"/>
      <c r="Y82" s="207" t="e">
        <f t="shared" si="53"/>
        <v>#DIV/0!</v>
      </c>
      <c r="Z82" s="69">
        <f t="shared" si="54"/>
        <v>0</v>
      </c>
      <c r="AA82" s="55"/>
      <c r="AB82" s="223"/>
      <c r="AC82" s="55"/>
      <c r="AD82" s="121"/>
      <c r="AE82" s="121"/>
      <c r="AF82" s="65"/>
      <c r="AH82" s="69">
        <f t="shared" si="32"/>
        <v>0</v>
      </c>
      <c r="AI82" s="258">
        <f t="shared" si="33"/>
        <v>0</v>
      </c>
      <c r="AK82" s="69">
        <f t="shared" si="46"/>
        <v>0</v>
      </c>
      <c r="AM82" s="349"/>
      <c r="AN82" s="349"/>
      <c r="AO82" s="354"/>
      <c r="AR82" s="65">
        <f t="shared" si="44"/>
        <v>0</v>
      </c>
      <c r="AS82" s="54"/>
      <c r="AT82" s="65"/>
      <c r="AU82" s="55"/>
      <c r="AV82" s="55"/>
      <c r="AW82" s="367"/>
      <c r="AX82" s="349"/>
      <c r="AY82" s="69">
        <f t="shared" si="42"/>
        <v>0</v>
      </c>
      <c r="AZ82" s="55">
        <f t="shared" si="49"/>
        <v>0</v>
      </c>
      <c r="BA82" s="67">
        <f t="shared" si="50"/>
        <v>0</v>
      </c>
      <c r="BB82" s="501"/>
      <c r="BE82" s="501"/>
      <c r="BF82" s="221"/>
      <c r="BG82" s="515">
        <f t="shared" si="13"/>
        <v>0</v>
      </c>
      <c r="BH82" s="569"/>
      <c r="BI82" s="222"/>
      <c r="BJ82" s="55"/>
      <c r="BK82" s="65"/>
      <c r="BL82" s="69">
        <f t="shared" si="43"/>
        <v>0</v>
      </c>
      <c r="BM82" s="55"/>
      <c r="BN82" s="55"/>
      <c r="BO82" s="55"/>
      <c r="BP82" s="55">
        <f t="shared" si="34"/>
        <v>0</v>
      </c>
      <c r="BQ82" s="69">
        <f t="shared" si="35"/>
        <v>0</v>
      </c>
      <c r="BR82" s="55"/>
      <c r="BS82" s="55"/>
      <c r="BT82" s="223"/>
      <c r="BU82" s="353"/>
      <c r="BV82" s="353"/>
      <c r="BW82" s="809"/>
    </row>
    <row r="83" spans="1:101" x14ac:dyDescent="0.25">
      <c r="A83" s="54" t="s">
        <v>259</v>
      </c>
      <c r="B83" s="446" t="s">
        <v>260</v>
      </c>
      <c r="C83" s="55">
        <v>0</v>
      </c>
      <c r="D83" s="55">
        <v>0</v>
      </c>
      <c r="E83" s="55"/>
      <c r="F83" s="65"/>
      <c r="G83" s="65"/>
      <c r="H83" s="65"/>
      <c r="I83" s="65">
        <f t="shared" si="55"/>
        <v>0</v>
      </c>
      <c r="J83" s="55"/>
      <c r="K83" s="55"/>
      <c r="L83" s="65"/>
      <c r="M83" s="1">
        <f t="shared" si="56"/>
        <v>0</v>
      </c>
      <c r="N83" s="55"/>
      <c r="O83" s="55"/>
      <c r="P83" s="55"/>
      <c r="Q83" s="55"/>
      <c r="R83" s="55"/>
      <c r="S83" s="55"/>
      <c r="T83" s="55"/>
      <c r="U83" s="69">
        <f t="shared" si="51"/>
        <v>0</v>
      </c>
      <c r="V83" s="69">
        <f t="shared" si="52"/>
        <v>0</v>
      </c>
      <c r="W83" s="122"/>
      <c r="Y83" s="207" t="e">
        <f t="shared" si="53"/>
        <v>#DIV/0!</v>
      </c>
      <c r="Z83" s="69">
        <f t="shared" si="54"/>
        <v>0</v>
      </c>
      <c r="AA83" s="55"/>
      <c r="AB83" s="223"/>
      <c r="AC83" s="55"/>
      <c r="AD83" s="121"/>
      <c r="AE83" s="121"/>
      <c r="AF83" s="65"/>
      <c r="AH83" s="69">
        <f t="shared" si="32"/>
        <v>0</v>
      </c>
      <c r="AI83" s="258">
        <f t="shared" si="33"/>
        <v>0</v>
      </c>
      <c r="AK83" s="69">
        <f t="shared" si="46"/>
        <v>0</v>
      </c>
      <c r="AM83" s="349"/>
      <c r="AN83" s="349"/>
      <c r="AO83" s="354"/>
      <c r="AR83" s="65">
        <f t="shared" si="44"/>
        <v>0</v>
      </c>
      <c r="AS83" s="54"/>
      <c r="AT83" s="65"/>
      <c r="AU83" s="55"/>
      <c r="AV83" s="55"/>
      <c r="AW83" s="367"/>
      <c r="AX83" s="349"/>
      <c r="AY83" s="69">
        <f t="shared" si="42"/>
        <v>0</v>
      </c>
      <c r="AZ83" s="55">
        <f t="shared" si="49"/>
        <v>0</v>
      </c>
      <c r="BA83" s="67">
        <f t="shared" si="50"/>
        <v>0</v>
      </c>
      <c r="BB83" s="501"/>
      <c r="BE83" s="501"/>
      <c r="BF83" s="221"/>
      <c r="BG83" s="515">
        <f t="shared" si="13"/>
        <v>0</v>
      </c>
      <c r="BH83" s="569"/>
      <c r="BI83" s="222"/>
      <c r="BJ83" s="55"/>
      <c r="BK83" s="65"/>
      <c r="BL83" s="69">
        <f t="shared" si="43"/>
        <v>0</v>
      </c>
      <c r="BM83" s="55">
        <v>0</v>
      </c>
      <c r="BN83" s="55">
        <v>0</v>
      </c>
      <c r="BO83" s="55">
        <v>181153</v>
      </c>
      <c r="BP83" s="55">
        <f t="shared" si="34"/>
        <v>217383.59999999998</v>
      </c>
      <c r="BQ83" s="69">
        <f t="shared" si="35"/>
        <v>239121.96</v>
      </c>
      <c r="BR83" s="55"/>
      <c r="BS83" s="55"/>
      <c r="BT83" s="223"/>
      <c r="BU83" s="353"/>
      <c r="BV83" s="353"/>
      <c r="BW83" s="809"/>
      <c r="CA83" s="749"/>
    </row>
    <row r="84" spans="1:101" x14ac:dyDescent="0.25">
      <c r="A84" s="54" t="s">
        <v>60</v>
      </c>
      <c r="B84" s="446" t="s">
        <v>164</v>
      </c>
      <c r="C84" s="55">
        <v>0</v>
      </c>
      <c r="D84" s="55">
        <v>0</v>
      </c>
      <c r="E84" s="55">
        <v>0</v>
      </c>
      <c r="F84" s="65">
        <v>0</v>
      </c>
      <c r="G84" s="65"/>
      <c r="H84" s="65"/>
      <c r="I84" s="65">
        <f t="shared" si="55"/>
        <v>0</v>
      </c>
      <c r="J84" s="55">
        <v>0</v>
      </c>
      <c r="K84" s="55">
        <v>0</v>
      </c>
      <c r="L84" s="65">
        <v>0</v>
      </c>
      <c r="M84" s="1">
        <f t="shared" si="56"/>
        <v>0</v>
      </c>
      <c r="N84" s="55"/>
      <c r="O84" s="55"/>
      <c r="P84" s="55"/>
      <c r="Q84" s="55"/>
      <c r="R84" s="55"/>
      <c r="S84" s="55"/>
      <c r="T84" s="55"/>
      <c r="U84" s="69">
        <f t="shared" si="51"/>
        <v>0</v>
      </c>
      <c r="V84" s="69">
        <f t="shared" si="52"/>
        <v>0</v>
      </c>
      <c r="W84" s="122"/>
      <c r="Y84" s="207" t="e">
        <f t="shared" si="53"/>
        <v>#DIV/0!</v>
      </c>
      <c r="Z84" s="69">
        <f t="shared" si="54"/>
        <v>0</v>
      </c>
      <c r="AA84" s="55"/>
      <c r="AB84" s="223"/>
      <c r="AC84" s="55"/>
      <c r="AD84" s="121"/>
      <c r="AE84" s="121"/>
      <c r="AF84" s="65"/>
      <c r="AH84" s="69">
        <f t="shared" si="32"/>
        <v>0</v>
      </c>
      <c r="AI84" s="258">
        <f t="shared" si="33"/>
        <v>0</v>
      </c>
      <c r="AK84" s="69">
        <f t="shared" si="46"/>
        <v>0</v>
      </c>
      <c r="AM84" s="349"/>
      <c r="AN84" s="349"/>
      <c r="AO84" s="354"/>
      <c r="AR84" s="65">
        <f t="shared" si="44"/>
        <v>0</v>
      </c>
      <c r="AS84" s="54"/>
      <c r="AT84" s="65"/>
      <c r="AU84" s="55"/>
      <c r="AV84" s="55"/>
      <c r="AW84" s="367"/>
      <c r="AX84" s="349"/>
      <c r="AY84" s="69">
        <f t="shared" si="42"/>
        <v>0</v>
      </c>
      <c r="AZ84" s="55">
        <f t="shared" si="49"/>
        <v>0</v>
      </c>
      <c r="BA84" s="67">
        <f t="shared" si="50"/>
        <v>0</v>
      </c>
      <c r="BB84" s="501"/>
      <c r="BE84" s="501"/>
      <c r="BF84" s="221"/>
      <c r="BG84" s="515">
        <f t="shared" si="13"/>
        <v>0</v>
      </c>
      <c r="BH84" s="569"/>
      <c r="BI84" s="222"/>
      <c r="BJ84" s="55"/>
      <c r="BK84" s="65"/>
      <c r="BL84" s="69">
        <f t="shared" si="43"/>
        <v>0</v>
      </c>
      <c r="BM84" s="55"/>
      <c r="BN84" s="55"/>
      <c r="BO84" s="55"/>
      <c r="BP84" s="55"/>
      <c r="BQ84" s="69">
        <f t="shared" si="35"/>
        <v>0</v>
      </c>
      <c r="BR84" s="55"/>
      <c r="BS84" s="55"/>
      <c r="BT84" s="223"/>
      <c r="BU84" s="353"/>
      <c r="BV84" s="353"/>
      <c r="BW84" s="809"/>
      <c r="CA84" s="749"/>
    </row>
    <row r="85" spans="1:101" x14ac:dyDescent="0.25">
      <c r="A85" s="54" t="s">
        <v>61</v>
      </c>
      <c r="B85" s="446" t="s">
        <v>165</v>
      </c>
      <c r="C85" s="55">
        <v>0</v>
      </c>
      <c r="D85" s="55">
        <v>0</v>
      </c>
      <c r="E85" s="55">
        <v>0</v>
      </c>
      <c r="F85" s="65">
        <v>0</v>
      </c>
      <c r="G85" s="65"/>
      <c r="H85" s="65"/>
      <c r="I85" s="65">
        <f t="shared" si="55"/>
        <v>0</v>
      </c>
      <c r="J85" s="55">
        <v>0</v>
      </c>
      <c r="K85" s="55">
        <v>0</v>
      </c>
      <c r="L85" s="65">
        <v>0</v>
      </c>
      <c r="M85" s="1">
        <f t="shared" si="56"/>
        <v>0</v>
      </c>
      <c r="N85" s="55"/>
      <c r="O85" s="55"/>
      <c r="P85" s="55"/>
      <c r="Q85" s="55"/>
      <c r="R85" s="55"/>
      <c r="S85" s="55"/>
      <c r="T85" s="55"/>
      <c r="U85" s="69">
        <f t="shared" si="51"/>
        <v>0</v>
      </c>
      <c r="V85" s="69">
        <f t="shared" si="52"/>
        <v>0</v>
      </c>
      <c r="W85" s="122"/>
      <c r="Y85" s="207" t="e">
        <f t="shared" si="53"/>
        <v>#DIV/0!</v>
      </c>
      <c r="Z85" s="69">
        <f t="shared" si="54"/>
        <v>0</v>
      </c>
      <c r="AA85" s="55"/>
      <c r="AB85" s="223"/>
      <c r="AC85" s="55"/>
      <c r="AD85" s="121"/>
      <c r="AE85" s="121"/>
      <c r="AF85" s="65"/>
      <c r="AH85" s="69">
        <f t="shared" si="32"/>
        <v>0</v>
      </c>
      <c r="AI85" s="258">
        <f t="shared" si="33"/>
        <v>0</v>
      </c>
      <c r="AK85" s="69">
        <f t="shared" si="46"/>
        <v>0</v>
      </c>
      <c r="AM85" s="349"/>
      <c r="AN85" s="349"/>
      <c r="AO85" s="354"/>
      <c r="AR85" s="65">
        <f t="shared" si="44"/>
        <v>0</v>
      </c>
      <c r="AS85" s="54"/>
      <c r="AT85" s="65"/>
      <c r="AU85" s="55"/>
      <c r="AV85" s="55"/>
      <c r="AW85" s="367"/>
      <c r="AX85" s="349"/>
      <c r="AY85" s="69">
        <f t="shared" si="42"/>
        <v>0</v>
      </c>
      <c r="AZ85" s="55">
        <f t="shared" si="49"/>
        <v>0</v>
      </c>
      <c r="BA85" s="67">
        <f t="shared" si="50"/>
        <v>0</v>
      </c>
      <c r="BB85" s="501"/>
      <c r="BE85" s="501"/>
      <c r="BF85" s="221"/>
      <c r="BG85" s="515">
        <f t="shared" si="13"/>
        <v>0</v>
      </c>
      <c r="BH85" s="569"/>
      <c r="BI85" s="222"/>
      <c r="BJ85" s="55"/>
      <c r="BK85" s="65"/>
      <c r="BL85" s="69">
        <f t="shared" si="43"/>
        <v>0</v>
      </c>
      <c r="BM85" s="55"/>
      <c r="BN85" s="55"/>
      <c r="BO85" s="55"/>
      <c r="BP85" s="55"/>
      <c r="BQ85" s="69">
        <f t="shared" si="35"/>
        <v>0</v>
      </c>
      <c r="BR85" s="55"/>
      <c r="BS85" s="55"/>
      <c r="BT85" s="223"/>
      <c r="BU85" s="353"/>
      <c r="BV85" s="353"/>
      <c r="BW85" s="809"/>
      <c r="CA85" s="749"/>
    </row>
    <row r="86" spans="1:101" x14ac:dyDescent="0.25">
      <c r="A86" s="54" t="s">
        <v>62</v>
      </c>
      <c r="B86" s="446" t="s">
        <v>166</v>
      </c>
      <c r="C86" s="55">
        <v>0</v>
      </c>
      <c r="D86" s="55">
        <v>0</v>
      </c>
      <c r="E86" s="55">
        <v>0</v>
      </c>
      <c r="F86" s="65">
        <v>0</v>
      </c>
      <c r="G86" s="65"/>
      <c r="H86" s="65"/>
      <c r="I86" s="65">
        <f t="shared" si="55"/>
        <v>0</v>
      </c>
      <c r="J86" s="55">
        <v>0</v>
      </c>
      <c r="K86" s="55">
        <v>0</v>
      </c>
      <c r="L86" s="65">
        <v>0</v>
      </c>
      <c r="M86" s="1">
        <f t="shared" si="56"/>
        <v>0</v>
      </c>
      <c r="N86" s="55"/>
      <c r="O86" s="55"/>
      <c r="P86" s="55"/>
      <c r="Q86" s="55"/>
      <c r="R86" s="55"/>
      <c r="S86" s="55"/>
      <c r="T86" s="55"/>
      <c r="U86" s="69">
        <f t="shared" si="51"/>
        <v>0</v>
      </c>
      <c r="V86" s="69">
        <f t="shared" si="52"/>
        <v>0</v>
      </c>
      <c r="W86" s="122"/>
      <c r="Y86" s="207" t="e">
        <f t="shared" si="53"/>
        <v>#DIV/0!</v>
      </c>
      <c r="Z86" s="69">
        <f t="shared" si="54"/>
        <v>0</v>
      </c>
      <c r="AA86" s="55"/>
      <c r="AB86" s="223"/>
      <c r="AC86" s="55"/>
      <c r="AD86" s="121"/>
      <c r="AE86" s="121"/>
      <c r="AF86" s="65"/>
      <c r="AH86" s="69">
        <f t="shared" si="32"/>
        <v>0</v>
      </c>
      <c r="AI86" s="258">
        <f t="shared" si="33"/>
        <v>0</v>
      </c>
      <c r="AK86" s="69">
        <f t="shared" si="46"/>
        <v>0</v>
      </c>
      <c r="AM86" s="349"/>
      <c r="AN86" s="349"/>
      <c r="AO86" s="354"/>
      <c r="AR86" s="65">
        <f t="shared" si="44"/>
        <v>0</v>
      </c>
      <c r="AS86" s="54"/>
      <c r="AT86" s="65"/>
      <c r="AU86" s="55"/>
      <c r="AV86" s="55"/>
      <c r="AW86" s="367"/>
      <c r="AX86" s="349"/>
      <c r="AY86" s="69">
        <f t="shared" si="42"/>
        <v>0</v>
      </c>
      <c r="AZ86" s="55">
        <f t="shared" si="49"/>
        <v>0</v>
      </c>
      <c r="BA86" s="67">
        <f t="shared" si="50"/>
        <v>0</v>
      </c>
      <c r="BB86" s="501"/>
      <c r="BE86" s="501"/>
      <c r="BF86" s="221"/>
      <c r="BG86" s="515">
        <f t="shared" si="13"/>
        <v>0</v>
      </c>
      <c r="BH86" s="569"/>
      <c r="BI86" s="222"/>
      <c r="BJ86" s="55"/>
      <c r="BK86" s="65"/>
      <c r="BL86" s="69">
        <f t="shared" si="43"/>
        <v>0</v>
      </c>
      <c r="BM86" s="55"/>
      <c r="BN86" s="55"/>
      <c r="BO86" s="55"/>
      <c r="BP86" s="55"/>
      <c r="BQ86" s="69">
        <f t="shared" si="35"/>
        <v>0</v>
      </c>
      <c r="BR86" s="55"/>
      <c r="BS86" s="55"/>
      <c r="BT86" s="223"/>
      <c r="BU86" s="353"/>
      <c r="BV86" s="353"/>
      <c r="BW86" s="809"/>
      <c r="CA86" s="749"/>
    </row>
    <row r="87" spans="1:101" x14ac:dyDescent="0.25">
      <c r="A87" s="54" t="s">
        <v>261</v>
      </c>
      <c r="B87" s="446" t="s">
        <v>262</v>
      </c>
      <c r="C87" s="55"/>
      <c r="D87" s="55"/>
      <c r="E87" s="55"/>
      <c r="F87" s="65"/>
      <c r="G87" s="65"/>
      <c r="H87" s="65"/>
      <c r="I87" s="65">
        <f t="shared" si="55"/>
        <v>0</v>
      </c>
      <c r="J87" s="55"/>
      <c r="K87" s="55"/>
      <c r="L87" s="65"/>
      <c r="M87" s="1">
        <f t="shared" si="56"/>
        <v>0</v>
      </c>
      <c r="N87" s="55"/>
      <c r="O87" s="55"/>
      <c r="P87" s="55"/>
      <c r="Q87" s="55"/>
      <c r="R87" s="55"/>
      <c r="S87" s="55"/>
      <c r="T87" s="55"/>
      <c r="U87" s="69">
        <f t="shared" si="51"/>
        <v>0</v>
      </c>
      <c r="V87" s="69">
        <f t="shared" si="52"/>
        <v>0</v>
      </c>
      <c r="W87" s="122"/>
      <c r="Y87" s="207" t="e">
        <f t="shared" si="53"/>
        <v>#DIV/0!</v>
      </c>
      <c r="Z87" s="69">
        <f t="shared" si="54"/>
        <v>0</v>
      </c>
      <c r="AA87" s="55"/>
      <c r="AB87" s="223"/>
      <c r="AC87" s="55"/>
      <c r="AD87" s="121"/>
      <c r="AE87" s="121"/>
      <c r="AF87" s="65"/>
      <c r="AH87" s="69">
        <f t="shared" si="32"/>
        <v>0</v>
      </c>
      <c r="AI87" s="258">
        <f t="shared" si="33"/>
        <v>0</v>
      </c>
      <c r="AK87" s="69">
        <f t="shared" si="46"/>
        <v>0</v>
      </c>
      <c r="AM87" s="349"/>
      <c r="AN87" s="349"/>
      <c r="AO87" s="354"/>
      <c r="AR87" s="65">
        <f t="shared" si="44"/>
        <v>0</v>
      </c>
      <c r="AS87" s="54"/>
      <c r="AT87" s="65"/>
      <c r="AU87" s="55"/>
      <c r="AV87" s="55"/>
      <c r="AW87" s="367"/>
      <c r="AX87" s="349"/>
      <c r="AY87" s="69">
        <f t="shared" si="42"/>
        <v>0</v>
      </c>
      <c r="AZ87" s="55">
        <f t="shared" si="49"/>
        <v>0</v>
      </c>
      <c r="BA87" s="67">
        <f t="shared" si="50"/>
        <v>0</v>
      </c>
      <c r="BB87" s="501">
        <v>0</v>
      </c>
      <c r="BE87" s="501">
        <v>2500000</v>
      </c>
      <c r="BF87" s="221">
        <v>2650000</v>
      </c>
      <c r="BG87" s="515">
        <v>2650000</v>
      </c>
      <c r="BH87" s="569"/>
      <c r="BI87" s="222"/>
      <c r="BJ87" s="55"/>
      <c r="BK87" s="65"/>
      <c r="BL87" s="69">
        <f t="shared" si="43"/>
        <v>0</v>
      </c>
      <c r="BM87" s="55"/>
      <c r="BN87" s="55"/>
      <c r="BO87" s="55"/>
      <c r="BP87" s="55"/>
      <c r="BQ87" s="69">
        <f t="shared" si="35"/>
        <v>0</v>
      </c>
      <c r="BR87" s="55"/>
      <c r="BS87" s="55"/>
      <c r="BT87" s="223"/>
      <c r="BU87" s="353"/>
      <c r="BV87" s="353"/>
      <c r="BW87" s="809"/>
      <c r="CA87" s="749"/>
    </row>
    <row r="88" spans="1:101" x14ac:dyDescent="0.25">
      <c r="A88" s="54" t="s">
        <v>63</v>
      </c>
      <c r="B88" s="448" t="s">
        <v>167</v>
      </c>
      <c r="C88" s="55">
        <v>0</v>
      </c>
      <c r="D88" s="55">
        <v>0</v>
      </c>
      <c r="E88" s="55">
        <v>0</v>
      </c>
      <c r="F88" s="65">
        <v>0</v>
      </c>
      <c r="G88" s="65"/>
      <c r="H88" s="65"/>
      <c r="I88" s="65">
        <f t="shared" si="55"/>
        <v>0</v>
      </c>
      <c r="J88" s="55">
        <v>0</v>
      </c>
      <c r="K88" s="55">
        <v>0</v>
      </c>
      <c r="L88" s="65">
        <v>0</v>
      </c>
      <c r="M88" s="1">
        <f t="shared" si="56"/>
        <v>0</v>
      </c>
      <c r="N88" s="55"/>
      <c r="O88" s="55"/>
      <c r="P88" s="55"/>
      <c r="Q88" s="55"/>
      <c r="R88" s="55"/>
      <c r="S88" s="55"/>
      <c r="T88" s="55"/>
      <c r="U88" s="69">
        <f t="shared" si="51"/>
        <v>0</v>
      </c>
      <c r="V88" s="69">
        <f t="shared" si="52"/>
        <v>0</v>
      </c>
      <c r="W88" s="122"/>
      <c r="Y88" s="207" t="e">
        <f t="shared" si="53"/>
        <v>#DIV/0!</v>
      </c>
      <c r="Z88" s="69">
        <f t="shared" si="54"/>
        <v>0</v>
      </c>
      <c r="AA88" s="55"/>
      <c r="AB88" s="223"/>
      <c r="AC88" s="55"/>
      <c r="AD88" s="121"/>
      <c r="AE88" s="121"/>
      <c r="AF88" s="65"/>
      <c r="AH88" s="69">
        <f t="shared" si="32"/>
        <v>0</v>
      </c>
      <c r="AI88" s="258">
        <f t="shared" si="33"/>
        <v>0</v>
      </c>
      <c r="AK88" s="69">
        <f t="shared" si="46"/>
        <v>0</v>
      </c>
      <c r="AM88" s="349"/>
      <c r="AN88" s="349"/>
      <c r="AO88" s="354"/>
      <c r="AR88" s="65">
        <f t="shared" si="44"/>
        <v>0</v>
      </c>
      <c r="AS88" s="54"/>
      <c r="AT88" s="65"/>
      <c r="AU88" s="55"/>
      <c r="AV88" s="55"/>
      <c r="AW88" s="367"/>
      <c r="AX88" s="349"/>
      <c r="AY88" s="69">
        <f t="shared" si="42"/>
        <v>0</v>
      </c>
      <c r="AZ88" s="55">
        <f t="shared" si="49"/>
        <v>0</v>
      </c>
      <c r="BA88" s="67">
        <f t="shared" si="50"/>
        <v>0</v>
      </c>
      <c r="BB88" s="501"/>
      <c r="BE88" s="501"/>
      <c r="BF88" s="221"/>
      <c r="BG88" s="515">
        <f t="shared" ref="BG88:BG101" si="57">BF88/10*12</f>
        <v>0</v>
      </c>
      <c r="BH88" s="569"/>
      <c r="BI88" s="222"/>
      <c r="BJ88" s="55"/>
      <c r="BK88" s="65"/>
      <c r="BL88" s="69">
        <f t="shared" si="43"/>
        <v>0</v>
      </c>
      <c r="BM88" s="55"/>
      <c r="BN88" s="55"/>
      <c r="BO88" s="55"/>
      <c r="BP88" s="55"/>
      <c r="BQ88" s="69">
        <f t="shared" si="35"/>
        <v>0</v>
      </c>
      <c r="BR88" s="55"/>
      <c r="BS88" s="55"/>
      <c r="BT88" s="223"/>
      <c r="BU88" s="353"/>
      <c r="BV88" s="353"/>
      <c r="BW88" s="809"/>
      <c r="CA88" s="749"/>
    </row>
    <row r="89" spans="1:101" s="387" customFormat="1" x14ac:dyDescent="0.25">
      <c r="A89" s="54" t="s">
        <v>64</v>
      </c>
      <c r="B89" s="58" t="s">
        <v>204</v>
      </c>
      <c r="C89" s="383">
        <v>0</v>
      </c>
      <c r="D89" s="383">
        <v>0</v>
      </c>
      <c r="E89" s="383">
        <v>0</v>
      </c>
      <c r="F89" s="383"/>
      <c r="G89" s="383"/>
      <c r="H89" s="383"/>
      <c r="I89" s="383">
        <f t="shared" si="55"/>
        <v>0</v>
      </c>
      <c r="J89" s="383"/>
      <c r="K89" s="383"/>
      <c r="L89" s="383"/>
      <c r="M89" s="384">
        <f t="shared" si="56"/>
        <v>0</v>
      </c>
      <c r="N89" s="383"/>
      <c r="O89" s="383"/>
      <c r="P89" s="383"/>
      <c r="Q89" s="383"/>
      <c r="R89" s="383"/>
      <c r="S89" s="383"/>
      <c r="T89" s="383"/>
      <c r="U89" s="385">
        <f t="shared" si="51"/>
        <v>0</v>
      </c>
      <c r="V89" s="385">
        <f t="shared" si="52"/>
        <v>0</v>
      </c>
      <c r="W89" s="386"/>
      <c r="Y89" s="388" t="e">
        <f t="shared" si="53"/>
        <v>#DIV/0!</v>
      </c>
      <c r="Z89" s="385">
        <f t="shared" si="54"/>
        <v>0</v>
      </c>
      <c r="AA89" s="383"/>
      <c r="AB89" s="389"/>
      <c r="AC89" s="383"/>
      <c r="AD89" s="386"/>
      <c r="AE89" s="386"/>
      <c r="AF89" s="383"/>
      <c r="AG89" s="389"/>
      <c r="AH89" s="385">
        <f t="shared" si="32"/>
        <v>0</v>
      </c>
      <c r="AI89" s="390">
        <f t="shared" si="33"/>
        <v>0</v>
      </c>
      <c r="AJ89" s="383"/>
      <c r="AK89" s="385">
        <f t="shared" si="46"/>
        <v>0</v>
      </c>
      <c r="AM89" s="391"/>
      <c r="AN89" s="391"/>
      <c r="AO89" s="392"/>
      <c r="AP89" s="65"/>
      <c r="AQ89" s="222"/>
      <c r="AR89" s="65">
        <f t="shared" si="44"/>
        <v>0</v>
      </c>
      <c r="AS89" s="54"/>
      <c r="AT89" s="65"/>
      <c r="AU89" s="55"/>
      <c r="AV89" s="55"/>
      <c r="AW89" s="367"/>
      <c r="AX89" s="349"/>
      <c r="AY89" s="69">
        <f t="shared" si="42"/>
        <v>0</v>
      </c>
      <c r="AZ89" s="55">
        <f t="shared" si="49"/>
        <v>0</v>
      </c>
      <c r="BA89" s="67">
        <f t="shared" si="50"/>
        <v>0</v>
      </c>
      <c r="BB89" s="501"/>
      <c r="BC89" s="501"/>
      <c r="BD89" s="501"/>
      <c r="BE89" s="501"/>
      <c r="BF89" s="221"/>
      <c r="BG89" s="515">
        <f t="shared" si="57"/>
        <v>0</v>
      </c>
      <c r="BH89" s="569"/>
      <c r="BI89" s="222"/>
      <c r="BJ89" s="55"/>
      <c r="BK89" s="65"/>
      <c r="BL89" s="607">
        <f t="shared" si="43"/>
        <v>0</v>
      </c>
      <c r="BM89" s="55"/>
      <c r="BN89" s="55"/>
      <c r="BO89" s="55"/>
      <c r="BP89" s="55"/>
      <c r="BQ89" s="69">
        <f t="shared" si="35"/>
        <v>0</v>
      </c>
      <c r="BR89" s="55"/>
      <c r="BS89" s="55"/>
      <c r="BT89" s="223"/>
      <c r="BU89" s="800"/>
      <c r="BV89" s="353"/>
      <c r="BW89" s="809"/>
      <c r="BX89"/>
      <c r="BY89"/>
      <c r="BZ89"/>
      <c r="CA89" s="74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</row>
    <row r="90" spans="1:101" s="387" customFormat="1" x14ac:dyDescent="0.25">
      <c r="A90" s="54" t="s">
        <v>65</v>
      </c>
      <c r="B90" s="448" t="s">
        <v>168</v>
      </c>
      <c r="C90" s="383">
        <v>1733000</v>
      </c>
      <c r="D90" s="383">
        <v>2301753</v>
      </c>
      <c r="E90" s="383">
        <v>2113480</v>
      </c>
      <c r="F90" s="383">
        <v>0</v>
      </c>
      <c r="G90" s="383"/>
      <c r="H90" s="383"/>
      <c r="I90" s="383">
        <f t="shared" si="55"/>
        <v>0</v>
      </c>
      <c r="J90" s="383">
        <v>2633700.7874015747</v>
      </c>
      <c r="K90" s="383">
        <v>2633700.7874015747</v>
      </c>
      <c r="L90" s="383">
        <f>(beruházások!F17+beruházások!F19+beruházások!F20+beruházások!F21)/1.27</f>
        <v>2633700.7874015747</v>
      </c>
      <c r="M90" s="384">
        <f t="shared" si="56"/>
        <v>0</v>
      </c>
      <c r="N90" s="383">
        <v>1923701</v>
      </c>
      <c r="O90" s="383">
        <v>1175745</v>
      </c>
      <c r="P90" s="383">
        <v>1175745</v>
      </c>
      <c r="Q90" s="383">
        <f>beruházások!N48</f>
        <v>16327000</v>
      </c>
      <c r="R90" s="383">
        <v>1175745</v>
      </c>
      <c r="S90" s="383">
        <v>1175745</v>
      </c>
      <c r="T90" s="383">
        <f>beruházások!C48</f>
        <v>16327000</v>
      </c>
      <c r="U90" s="385">
        <f>beruházások!F48</f>
        <v>1835000</v>
      </c>
      <c r="V90" s="385">
        <f>beruházások!H48</f>
        <v>1835000</v>
      </c>
      <c r="W90" s="386">
        <f t="shared" ref="W90:W107" si="58">S90/U90</f>
        <v>0.64073297002724794</v>
      </c>
      <c r="Y90" s="388">
        <f t="shared" si="53"/>
        <v>1.560712569477225</v>
      </c>
      <c r="Z90" s="385">
        <f t="shared" si="54"/>
        <v>1835000</v>
      </c>
      <c r="AA90" s="383">
        <v>579000</v>
      </c>
      <c r="AB90" s="389">
        <v>579000</v>
      </c>
      <c r="AC90" s="383">
        <v>579000</v>
      </c>
      <c r="AD90" s="386">
        <f>(AC90+AC92+AC93)/Z90*100</f>
        <v>266.14108991825611</v>
      </c>
      <c r="AE90" s="386"/>
      <c r="AF90" s="383">
        <v>617480</v>
      </c>
      <c r="AG90" s="389">
        <v>579000</v>
      </c>
      <c r="AH90" s="385"/>
      <c r="AI90" s="390"/>
      <c r="AJ90" s="383">
        <f>beruházások!X48/1.27</f>
        <v>6456692.9133858271</v>
      </c>
      <c r="AK90" s="385">
        <f>beruházások!Z48/1.27</f>
        <v>2716535.4330708659</v>
      </c>
      <c r="AM90" s="391">
        <v>579000</v>
      </c>
      <c r="AN90" s="391"/>
      <c r="AO90" s="392"/>
      <c r="AP90" s="65"/>
      <c r="AQ90" s="222"/>
      <c r="AR90" s="65">
        <f t="shared" si="44"/>
        <v>0</v>
      </c>
      <c r="AS90" s="54"/>
      <c r="AT90" s="65"/>
      <c r="AU90" s="55"/>
      <c r="AV90" s="55"/>
      <c r="AW90" s="367">
        <v>2716535</v>
      </c>
      <c r="AX90" s="349">
        <v>4094488</v>
      </c>
      <c r="AY90" s="69">
        <f>beruházások!AD48/1.27</f>
        <v>2913385.8267716537</v>
      </c>
      <c r="AZ90" s="375">
        <v>2913386</v>
      </c>
      <c r="BA90" s="456">
        <v>2913386</v>
      </c>
      <c r="BB90" s="501">
        <v>2913385</v>
      </c>
      <c r="BC90" s="501">
        <v>2913385</v>
      </c>
      <c r="BD90" s="501">
        <v>1541500</v>
      </c>
      <c r="BE90" s="501">
        <v>1541500</v>
      </c>
      <c r="BF90" s="221">
        <v>1541500</v>
      </c>
      <c r="BG90" s="515">
        <f t="shared" si="57"/>
        <v>1849800</v>
      </c>
      <c r="BH90" s="569">
        <v>1950394</v>
      </c>
      <c r="BI90" s="222">
        <v>208819</v>
      </c>
      <c r="BJ90" s="55">
        <v>0</v>
      </c>
      <c r="BK90" s="65"/>
      <c r="BL90" s="607">
        <f t="shared" si="43"/>
        <v>0</v>
      </c>
      <c r="BM90" s="55">
        <f>1406850+120000</f>
        <v>1526850</v>
      </c>
      <c r="BN90" s="55">
        <f>1406850+120000</f>
        <v>1526850</v>
      </c>
      <c r="BO90" s="55">
        <v>0</v>
      </c>
      <c r="BP90" s="55"/>
      <c r="BQ90" s="69"/>
      <c r="BR90" s="69">
        <v>5724409</v>
      </c>
      <c r="BS90" s="69">
        <v>5724409</v>
      </c>
      <c r="BT90" s="738">
        <f>beruházások!AI48/1.27</f>
        <v>4566929.1338582672</v>
      </c>
      <c r="BU90" s="799">
        <v>78740</v>
      </c>
      <c r="BV90" s="353"/>
      <c r="BW90" s="809"/>
      <c r="BX90"/>
      <c r="BY90"/>
      <c r="BZ90"/>
      <c r="CA90" s="749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</row>
    <row r="91" spans="1:101" s="387" customFormat="1" x14ac:dyDescent="0.25">
      <c r="A91" s="54" t="s">
        <v>67</v>
      </c>
      <c r="B91" s="448" t="s">
        <v>169</v>
      </c>
      <c r="C91" s="383">
        <v>0</v>
      </c>
      <c r="D91" s="383">
        <v>0</v>
      </c>
      <c r="E91" s="383">
        <v>0</v>
      </c>
      <c r="F91" s="383">
        <v>117527</v>
      </c>
      <c r="G91" s="383">
        <v>117527</v>
      </c>
      <c r="H91" s="383">
        <v>117527</v>
      </c>
      <c r="I91" s="383">
        <f t="shared" si="55"/>
        <v>128211.27272727274</v>
      </c>
      <c r="J91" s="383">
        <v>0</v>
      </c>
      <c r="K91" s="383">
        <v>0</v>
      </c>
      <c r="L91" s="383">
        <v>0</v>
      </c>
      <c r="M91" s="384">
        <f t="shared" si="56"/>
        <v>0</v>
      </c>
      <c r="N91" s="383"/>
      <c r="O91" s="383"/>
      <c r="P91" s="383"/>
      <c r="Q91" s="383"/>
      <c r="R91" s="383"/>
      <c r="S91" s="383"/>
      <c r="T91" s="383"/>
      <c r="U91" s="385">
        <f t="shared" si="51"/>
        <v>0</v>
      </c>
      <c r="V91" s="385">
        <f t="shared" si="52"/>
        <v>0</v>
      </c>
      <c r="W91" s="386"/>
      <c r="Y91" s="388" t="e">
        <f t="shared" si="53"/>
        <v>#DIV/0!</v>
      </c>
      <c r="Z91" s="385">
        <f t="shared" si="54"/>
        <v>0</v>
      </c>
      <c r="AA91" s="383"/>
      <c r="AB91" s="389"/>
      <c r="AC91" s="383"/>
      <c r="AD91" s="386"/>
      <c r="AE91" s="386"/>
      <c r="AF91" s="383"/>
      <c r="AG91" s="389"/>
      <c r="AH91" s="385">
        <f t="shared" si="32"/>
        <v>0</v>
      </c>
      <c r="AI91" s="390">
        <f t="shared" si="33"/>
        <v>0</v>
      </c>
      <c r="AJ91" s="383"/>
      <c r="AK91" s="385">
        <f t="shared" si="46"/>
        <v>0</v>
      </c>
      <c r="AM91" s="391"/>
      <c r="AN91" s="391"/>
      <c r="AO91" s="392"/>
      <c r="AP91" s="65"/>
      <c r="AQ91" s="222"/>
      <c r="AR91" s="65">
        <f t="shared" si="44"/>
        <v>0</v>
      </c>
      <c r="AS91" s="54"/>
      <c r="AT91" s="65"/>
      <c r="AU91" s="55"/>
      <c r="AV91" s="55"/>
      <c r="AW91" s="367"/>
      <c r="AX91" s="349"/>
      <c r="AY91" s="69">
        <f t="shared" si="42"/>
        <v>0</v>
      </c>
      <c r="AZ91" s="424"/>
      <c r="BA91" s="424"/>
      <c r="BB91" s="501"/>
      <c r="BC91" s="501"/>
      <c r="BD91" s="501"/>
      <c r="BE91" s="501"/>
      <c r="BF91" s="221"/>
      <c r="BG91" s="515">
        <f t="shared" si="57"/>
        <v>0</v>
      </c>
      <c r="BH91" s="569"/>
      <c r="BI91" s="222">
        <v>335293</v>
      </c>
      <c r="BJ91" s="55">
        <v>335293</v>
      </c>
      <c r="BK91" s="65">
        <v>335293</v>
      </c>
      <c r="BL91" s="607"/>
      <c r="BM91" s="55"/>
      <c r="BN91" s="55"/>
      <c r="BO91" s="55"/>
      <c r="BP91" s="55"/>
      <c r="BQ91" s="69"/>
      <c r="BR91" s="55"/>
      <c r="BS91" s="55"/>
      <c r="BT91" s="223"/>
      <c r="BU91" s="800">
        <v>2481409</v>
      </c>
      <c r="BV91" s="353">
        <v>380000</v>
      </c>
      <c r="BW91" s="809"/>
      <c r="BX91"/>
      <c r="BY91"/>
      <c r="BZ91"/>
      <c r="CA91" s="749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</row>
    <row r="92" spans="1:101" s="387" customFormat="1" x14ac:dyDescent="0.25">
      <c r="A92" s="54" t="s">
        <v>68</v>
      </c>
      <c r="B92" s="448" t="s">
        <v>170</v>
      </c>
      <c r="C92" s="383">
        <v>0</v>
      </c>
      <c r="D92" s="383">
        <v>0</v>
      </c>
      <c r="E92" s="383">
        <v>0</v>
      </c>
      <c r="F92" s="383">
        <v>592599</v>
      </c>
      <c r="G92" s="383">
        <v>1025827</v>
      </c>
      <c r="H92" s="383">
        <v>886912</v>
      </c>
      <c r="I92" s="383">
        <f t="shared" si="55"/>
        <v>967540.36363636365</v>
      </c>
      <c r="J92" s="383">
        <v>0</v>
      </c>
      <c r="K92" s="383">
        <v>0</v>
      </c>
      <c r="L92" s="383">
        <v>0</v>
      </c>
      <c r="M92" s="384">
        <f t="shared" si="56"/>
        <v>0</v>
      </c>
      <c r="N92" s="383">
        <v>710000</v>
      </c>
      <c r="O92" s="383">
        <v>677677</v>
      </c>
      <c r="P92" s="383">
        <v>747677</v>
      </c>
      <c r="Q92" s="383"/>
      <c r="R92" s="383">
        <v>1657677</v>
      </c>
      <c r="S92" s="383">
        <v>1657677</v>
      </c>
      <c r="T92" s="383"/>
      <c r="U92" s="385">
        <f t="shared" si="51"/>
        <v>0</v>
      </c>
      <c r="V92" s="385">
        <f t="shared" si="52"/>
        <v>0</v>
      </c>
      <c r="W92" s="386"/>
      <c r="Y92" s="388">
        <f t="shared" si="53"/>
        <v>0</v>
      </c>
      <c r="Z92" s="385">
        <f t="shared" si="54"/>
        <v>0</v>
      </c>
      <c r="AA92" s="383">
        <v>3554179</v>
      </c>
      <c r="AB92" s="389">
        <v>3711388</v>
      </c>
      <c r="AC92" s="383">
        <v>3746046</v>
      </c>
      <c r="AD92" s="386"/>
      <c r="AE92" s="386"/>
      <c r="AF92" s="383">
        <v>3892521</v>
      </c>
      <c r="AG92" s="389">
        <v>3746046</v>
      </c>
      <c r="AH92" s="385"/>
      <c r="AI92" s="390"/>
      <c r="AJ92" s="383"/>
      <c r="AK92" s="385">
        <f t="shared" si="46"/>
        <v>0</v>
      </c>
      <c r="AM92" s="391">
        <v>3797219</v>
      </c>
      <c r="AN92" s="391"/>
      <c r="AO92" s="392"/>
      <c r="AP92" s="65"/>
      <c r="AQ92" s="222"/>
      <c r="AR92" s="65">
        <f t="shared" si="44"/>
        <v>0</v>
      </c>
      <c r="AS92" s="54"/>
      <c r="AT92" s="65"/>
      <c r="AU92" s="55"/>
      <c r="AV92" s="55"/>
      <c r="AW92" s="367"/>
      <c r="AX92" s="349"/>
      <c r="AY92" s="69">
        <f t="shared" si="42"/>
        <v>0</v>
      </c>
      <c r="AZ92" s="424"/>
      <c r="BA92" s="424"/>
      <c r="BB92" s="501">
        <v>0</v>
      </c>
      <c r="BC92" s="501">
        <v>98157</v>
      </c>
      <c r="BD92" s="501">
        <v>98157</v>
      </c>
      <c r="BE92" s="501">
        <v>98157</v>
      </c>
      <c r="BF92" s="221">
        <v>98157</v>
      </c>
      <c r="BG92" s="515">
        <f t="shared" si="57"/>
        <v>117788.40000000001</v>
      </c>
      <c r="BH92" s="569"/>
      <c r="BI92" s="222">
        <v>342362</v>
      </c>
      <c r="BJ92" s="55">
        <v>342362</v>
      </c>
      <c r="BK92" s="65">
        <v>342362</v>
      </c>
      <c r="BL92" s="607"/>
      <c r="BM92" s="55"/>
      <c r="BN92" s="55"/>
      <c r="BO92" s="55"/>
      <c r="BP92" s="55"/>
      <c r="BQ92" s="69"/>
      <c r="BR92" s="55"/>
      <c r="BS92" s="55"/>
      <c r="BT92" s="223"/>
      <c r="BU92" s="800">
        <v>2034252</v>
      </c>
      <c r="BV92" s="353">
        <v>1000000</v>
      </c>
      <c r="BW92" s="809"/>
      <c r="BX92"/>
      <c r="BY92"/>
      <c r="BZ92"/>
      <c r="CA92" s="749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</row>
    <row r="93" spans="1:101" s="387" customFormat="1" x14ac:dyDescent="0.25">
      <c r="A93" s="54" t="s">
        <v>69</v>
      </c>
      <c r="B93" s="448" t="s">
        <v>171</v>
      </c>
      <c r="C93" s="383">
        <v>0</v>
      </c>
      <c r="D93" s="383">
        <v>0</v>
      </c>
      <c r="E93" s="383">
        <v>0</v>
      </c>
      <c r="F93" s="383">
        <v>184174</v>
      </c>
      <c r="G93" s="383">
        <v>284174</v>
      </c>
      <c r="H93" s="383">
        <v>263639</v>
      </c>
      <c r="I93" s="383">
        <f t="shared" si="55"/>
        <v>287606.18181818182</v>
      </c>
      <c r="J93" s="383">
        <v>711099.21259842522</v>
      </c>
      <c r="K93" s="383">
        <v>711099.21259842522</v>
      </c>
      <c r="L93" s="383">
        <f>(beruházások!F17+beruházások!F19+beruházások!F20+beruházások!F21)/1.27*0.27</f>
        <v>711099.21259842522</v>
      </c>
      <c r="M93" s="384">
        <f t="shared" si="56"/>
        <v>247.24754110047823</v>
      </c>
      <c r="N93" s="383">
        <v>711099</v>
      </c>
      <c r="O93" s="383">
        <v>457622</v>
      </c>
      <c r="P93" s="383">
        <v>476522</v>
      </c>
      <c r="Q93" s="383"/>
      <c r="R93" s="383">
        <v>711099</v>
      </c>
      <c r="S93" s="383">
        <v>476522</v>
      </c>
      <c r="T93" s="383"/>
      <c r="U93" s="385">
        <f t="shared" si="51"/>
        <v>0</v>
      </c>
      <c r="V93" s="385">
        <f t="shared" si="52"/>
        <v>0</v>
      </c>
      <c r="W93" s="386"/>
      <c r="Y93" s="388">
        <f t="shared" si="53"/>
        <v>0</v>
      </c>
      <c r="Z93" s="385">
        <f t="shared" si="54"/>
        <v>0</v>
      </c>
      <c r="AA93" s="383">
        <v>506839</v>
      </c>
      <c r="AB93" s="389">
        <v>549285</v>
      </c>
      <c r="AC93" s="383">
        <v>558643</v>
      </c>
      <c r="AD93" s="386"/>
      <c r="AE93" s="386"/>
      <c r="AF93" s="383">
        <v>567119</v>
      </c>
      <c r="AG93" s="389">
        <v>558643</v>
      </c>
      <c r="AH93" s="385"/>
      <c r="AI93" s="390"/>
      <c r="AJ93" s="383">
        <f>AJ90*0.27</f>
        <v>1743307.0866141734</v>
      </c>
      <c r="AK93" s="385">
        <f>AK90*0.27</f>
        <v>733464.56692913384</v>
      </c>
      <c r="AM93" s="391">
        <v>572460</v>
      </c>
      <c r="AN93" s="391">
        <v>450000</v>
      </c>
      <c r="AO93" s="392"/>
      <c r="AP93" s="65">
        <v>250000</v>
      </c>
      <c r="AQ93" s="222"/>
      <c r="AR93" s="221">
        <f t="shared" si="44"/>
        <v>250000</v>
      </c>
      <c r="AS93" s="54">
        <f t="shared" si="45"/>
        <v>0</v>
      </c>
      <c r="AT93" s="65"/>
      <c r="AU93" s="55">
        <f>AP93-AT93</f>
        <v>250000</v>
      </c>
      <c r="AV93" s="55">
        <f>(AU93/AP93*100)</f>
        <v>100</v>
      </c>
      <c r="AW93" s="367">
        <v>733465</v>
      </c>
      <c r="AX93" s="349">
        <f>AX90*0.27</f>
        <v>1105511.76</v>
      </c>
      <c r="AY93" s="69">
        <f>AY90*0.27</f>
        <v>786614.17322834651</v>
      </c>
      <c r="AZ93" s="375">
        <v>786614</v>
      </c>
      <c r="BA93" s="456">
        <v>786614</v>
      </c>
      <c r="BB93" s="501">
        <v>786615</v>
      </c>
      <c r="BC93" s="501">
        <v>786615</v>
      </c>
      <c r="BD93" s="501">
        <v>442708</v>
      </c>
      <c r="BE93" s="501">
        <v>442708</v>
      </c>
      <c r="BF93" s="221">
        <v>442708</v>
      </c>
      <c r="BG93" s="515">
        <f t="shared" si="57"/>
        <v>531249.60000000009</v>
      </c>
      <c r="BH93" s="569">
        <v>526606</v>
      </c>
      <c r="BI93" s="222">
        <f>(BI90+BI91+BI92)*0.27</f>
        <v>239347.98</v>
      </c>
      <c r="BJ93" s="55">
        <v>182967</v>
      </c>
      <c r="BK93" s="65">
        <v>182967</v>
      </c>
      <c r="BL93" s="607"/>
      <c r="BM93" s="55">
        <f>BM90*0.27</f>
        <v>412249.5</v>
      </c>
      <c r="BN93" s="55">
        <f>BN90*0.27</f>
        <v>412249.5</v>
      </c>
      <c r="BO93" s="55">
        <v>0</v>
      </c>
      <c r="BP93" s="55"/>
      <c r="BQ93" s="69"/>
      <c r="BR93" s="69">
        <v>1545591</v>
      </c>
      <c r="BS93" s="69">
        <v>1545591</v>
      </c>
      <c r="BT93" s="738">
        <f>BT90*0.27</f>
        <v>1233070.8661417323</v>
      </c>
      <c r="BU93" s="800">
        <v>1240489</v>
      </c>
      <c r="BV93" s="353">
        <v>372600</v>
      </c>
      <c r="BW93" s="809"/>
      <c r="BX93"/>
      <c r="BY93"/>
      <c r="BZ93"/>
      <c r="CA93" s="749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</row>
    <row r="94" spans="1:101" s="387" customFormat="1" x14ac:dyDescent="0.25">
      <c r="A94" s="54" t="s">
        <v>70</v>
      </c>
      <c r="B94" s="448" t="s">
        <v>172</v>
      </c>
      <c r="C94" s="383">
        <v>0</v>
      </c>
      <c r="D94" s="383">
        <v>0</v>
      </c>
      <c r="E94" s="383">
        <v>0</v>
      </c>
      <c r="F94" s="383">
        <v>697600</v>
      </c>
      <c r="G94" s="383"/>
      <c r="H94" s="383"/>
      <c r="I94" s="383">
        <f t="shared" si="55"/>
        <v>0</v>
      </c>
      <c r="J94" s="383">
        <v>0</v>
      </c>
      <c r="K94" s="383">
        <v>0</v>
      </c>
      <c r="L94" s="383">
        <v>0</v>
      </c>
      <c r="M94" s="384">
        <f t="shared" si="56"/>
        <v>0</v>
      </c>
      <c r="N94" s="383"/>
      <c r="O94" s="383"/>
      <c r="P94" s="383"/>
      <c r="Q94" s="383"/>
      <c r="R94" s="383"/>
      <c r="S94" s="383"/>
      <c r="T94" s="383"/>
      <c r="U94" s="385">
        <f t="shared" si="51"/>
        <v>0</v>
      </c>
      <c r="V94" s="385">
        <f t="shared" si="52"/>
        <v>0</v>
      </c>
      <c r="W94" s="386"/>
      <c r="Y94" s="388" t="e">
        <f t="shared" si="53"/>
        <v>#DIV/0!</v>
      </c>
      <c r="Z94" s="385">
        <f t="shared" si="54"/>
        <v>0</v>
      </c>
      <c r="AA94" s="383"/>
      <c r="AB94" s="389"/>
      <c r="AC94" s="383"/>
      <c r="AD94" s="386"/>
      <c r="AE94" s="386"/>
      <c r="AF94" s="383"/>
      <c r="AG94" s="389"/>
      <c r="AH94" s="385">
        <f t="shared" si="32"/>
        <v>0</v>
      </c>
      <c r="AI94" s="390">
        <f t="shared" si="33"/>
        <v>0</v>
      </c>
      <c r="AJ94" s="383"/>
      <c r="AK94" s="385">
        <f t="shared" si="46"/>
        <v>0</v>
      </c>
      <c r="AM94" s="391"/>
      <c r="AN94" s="391"/>
      <c r="AO94" s="392"/>
      <c r="AP94" s="65"/>
      <c r="AQ94" s="222"/>
      <c r="AR94" s="65">
        <f t="shared" si="44"/>
        <v>0</v>
      </c>
      <c r="AS94" s="54"/>
      <c r="AT94" s="65"/>
      <c r="AU94" s="55"/>
      <c r="AV94" s="55"/>
      <c r="AW94" s="367"/>
      <c r="AX94" s="349"/>
      <c r="AY94" s="69">
        <f t="shared" si="42"/>
        <v>0</v>
      </c>
      <c r="AZ94" s="55">
        <f t="shared" ref="AZ94:AZ101" si="59">AY94</f>
        <v>0</v>
      </c>
      <c r="BA94" s="69">
        <f t="shared" ref="BA94:BA101" si="60">AZ94</f>
        <v>0</v>
      </c>
      <c r="BB94" s="501"/>
      <c r="BC94" s="501"/>
      <c r="BD94" s="501"/>
      <c r="BE94" s="501"/>
      <c r="BF94" s="221"/>
      <c r="BG94" s="515">
        <f t="shared" si="57"/>
        <v>0</v>
      </c>
      <c r="BH94" s="569"/>
      <c r="BI94" s="222"/>
      <c r="BJ94" s="55"/>
      <c r="BK94" s="65"/>
      <c r="BL94" s="607">
        <f t="shared" si="43"/>
        <v>0</v>
      </c>
      <c r="BM94" s="55"/>
      <c r="BN94" s="55"/>
      <c r="BO94" s="55"/>
      <c r="BP94" s="55"/>
      <c r="BQ94" s="69"/>
      <c r="BR94" s="55"/>
      <c r="BS94" s="55"/>
      <c r="BT94" s="223"/>
      <c r="BU94" s="800">
        <v>2000000</v>
      </c>
      <c r="BV94" s="353">
        <v>3000000</v>
      </c>
      <c r="BW94" s="809"/>
      <c r="BX94"/>
      <c r="BY94"/>
      <c r="BZ94"/>
      <c r="CA94" s="749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</row>
    <row r="95" spans="1:101" s="387" customFormat="1" x14ac:dyDescent="0.25">
      <c r="A95" s="54" t="s">
        <v>239</v>
      </c>
      <c r="B95" s="448" t="s">
        <v>240</v>
      </c>
      <c r="C95" s="383">
        <v>0</v>
      </c>
      <c r="D95" s="383"/>
      <c r="E95" s="383"/>
      <c r="F95" s="383"/>
      <c r="G95" s="383">
        <v>697600</v>
      </c>
      <c r="H95" s="383">
        <v>697600</v>
      </c>
      <c r="I95" s="383">
        <f t="shared" si="55"/>
        <v>761018.18181818177</v>
      </c>
      <c r="J95" s="383"/>
      <c r="K95" s="383"/>
      <c r="L95" s="383"/>
      <c r="M95" s="384">
        <f t="shared" si="56"/>
        <v>0</v>
      </c>
      <c r="N95" s="383"/>
      <c r="O95" s="383"/>
      <c r="P95" s="383"/>
      <c r="Q95" s="383"/>
      <c r="R95" s="383"/>
      <c r="S95" s="383"/>
      <c r="T95" s="383"/>
      <c r="U95" s="385">
        <f t="shared" si="51"/>
        <v>0</v>
      </c>
      <c r="V95" s="385">
        <f t="shared" si="52"/>
        <v>0</v>
      </c>
      <c r="W95" s="386"/>
      <c r="Y95" s="388" t="e">
        <f t="shared" si="53"/>
        <v>#DIV/0!</v>
      </c>
      <c r="Z95" s="385">
        <f t="shared" si="54"/>
        <v>0</v>
      </c>
      <c r="AA95" s="383"/>
      <c r="AB95" s="389"/>
      <c r="AC95" s="383"/>
      <c r="AD95" s="386"/>
      <c r="AE95" s="386"/>
      <c r="AF95" s="383"/>
      <c r="AG95" s="389"/>
      <c r="AH95" s="385">
        <f t="shared" si="32"/>
        <v>0</v>
      </c>
      <c r="AI95" s="390">
        <f t="shared" si="33"/>
        <v>0</v>
      </c>
      <c r="AJ95" s="383"/>
      <c r="AK95" s="385">
        <f t="shared" si="46"/>
        <v>0</v>
      </c>
      <c r="AM95" s="391"/>
      <c r="AN95" s="391"/>
      <c r="AO95" s="392"/>
      <c r="AP95" s="65"/>
      <c r="AQ95" s="222"/>
      <c r="AR95" s="65">
        <f t="shared" si="44"/>
        <v>0</v>
      </c>
      <c r="AS95" s="54"/>
      <c r="AT95" s="65"/>
      <c r="AU95" s="55"/>
      <c r="AV95" s="55"/>
      <c r="AW95" s="367"/>
      <c r="AX95" s="349"/>
      <c r="AY95" s="69">
        <f t="shared" si="42"/>
        <v>0</v>
      </c>
      <c r="AZ95" s="55">
        <f t="shared" si="59"/>
        <v>0</v>
      </c>
      <c r="BA95" s="69">
        <f t="shared" si="60"/>
        <v>0</v>
      </c>
      <c r="BB95" s="501"/>
      <c r="BC95" s="501"/>
      <c r="BD95" s="501"/>
      <c r="BE95" s="501"/>
      <c r="BF95" s="221"/>
      <c r="BG95" s="515">
        <f t="shared" si="57"/>
        <v>0</v>
      </c>
      <c r="BH95" s="569"/>
      <c r="BI95" s="222"/>
      <c r="BJ95" s="55"/>
      <c r="BK95" s="65"/>
      <c r="BL95" s="607">
        <f t="shared" si="43"/>
        <v>0</v>
      </c>
      <c r="BM95" s="55"/>
      <c r="BN95" s="55"/>
      <c r="BO95" s="55"/>
      <c r="BP95" s="55"/>
      <c r="BQ95" s="69">
        <f t="shared" si="35"/>
        <v>0</v>
      </c>
      <c r="BR95" s="55"/>
      <c r="BS95" s="55"/>
      <c r="BT95" s="223"/>
      <c r="BU95" s="800"/>
      <c r="BV95" s="353">
        <v>2300000</v>
      </c>
      <c r="BW95" s="809"/>
      <c r="BX95"/>
      <c r="BY95"/>
      <c r="BZ95"/>
      <c r="CA95" s="749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</row>
    <row r="96" spans="1:101" s="387" customFormat="1" x14ac:dyDescent="0.25">
      <c r="A96" s="54" t="s">
        <v>71</v>
      </c>
      <c r="B96" s="448" t="s">
        <v>173</v>
      </c>
      <c r="C96" s="383">
        <v>0</v>
      </c>
      <c r="D96" s="383">
        <v>0</v>
      </c>
      <c r="E96" s="383">
        <v>0</v>
      </c>
      <c r="F96" s="383">
        <v>188352</v>
      </c>
      <c r="G96" s="383">
        <v>188352</v>
      </c>
      <c r="H96" s="383">
        <v>188352</v>
      </c>
      <c r="I96" s="383">
        <f t="shared" si="55"/>
        <v>205474.90909090909</v>
      </c>
      <c r="J96" s="383">
        <v>0</v>
      </c>
      <c r="K96" s="383">
        <v>0</v>
      </c>
      <c r="L96" s="383">
        <v>0</v>
      </c>
      <c r="M96" s="384">
        <f t="shared" si="56"/>
        <v>0</v>
      </c>
      <c r="N96" s="383"/>
      <c r="O96" s="383"/>
      <c r="P96" s="383"/>
      <c r="Q96" s="383"/>
      <c r="R96" s="383"/>
      <c r="S96" s="383"/>
      <c r="T96" s="383"/>
      <c r="U96" s="385">
        <f t="shared" si="51"/>
        <v>0</v>
      </c>
      <c r="V96" s="385">
        <f t="shared" si="52"/>
        <v>0</v>
      </c>
      <c r="W96" s="386"/>
      <c r="Y96" s="388" t="e">
        <f t="shared" si="53"/>
        <v>#DIV/0!</v>
      </c>
      <c r="Z96" s="385">
        <f t="shared" si="54"/>
        <v>0</v>
      </c>
      <c r="AA96" s="383"/>
      <c r="AB96" s="389"/>
      <c r="AC96" s="383"/>
      <c r="AD96" s="386"/>
      <c r="AE96" s="386"/>
      <c r="AF96" s="383"/>
      <c r="AG96" s="389"/>
      <c r="AH96" s="385">
        <f t="shared" si="32"/>
        <v>0</v>
      </c>
      <c r="AI96" s="390">
        <f t="shared" si="33"/>
        <v>0</v>
      </c>
      <c r="AJ96" s="383"/>
      <c r="AK96" s="385">
        <f t="shared" si="46"/>
        <v>0</v>
      </c>
      <c r="AM96" s="393"/>
      <c r="AN96" s="391"/>
      <c r="AO96" s="392"/>
      <c r="AP96" s="65"/>
      <c r="AQ96" s="222"/>
      <c r="AR96" s="65">
        <f t="shared" si="44"/>
        <v>0</v>
      </c>
      <c r="AS96" s="54"/>
      <c r="AT96" s="65"/>
      <c r="AU96" s="55"/>
      <c r="AV96" s="55"/>
      <c r="AW96" s="367"/>
      <c r="AX96" s="349"/>
      <c r="AY96" s="69">
        <f t="shared" si="42"/>
        <v>0</v>
      </c>
      <c r="AZ96" s="55">
        <f t="shared" si="59"/>
        <v>0</v>
      </c>
      <c r="BA96" s="69">
        <f t="shared" si="60"/>
        <v>0</v>
      </c>
      <c r="BB96" s="501"/>
      <c r="BC96" s="501"/>
      <c r="BD96" s="501"/>
      <c r="BE96" s="501"/>
      <c r="BF96" s="221"/>
      <c r="BG96" s="515">
        <f t="shared" si="57"/>
        <v>0</v>
      </c>
      <c r="BH96" s="569"/>
      <c r="BI96" s="222"/>
      <c r="BJ96" s="55"/>
      <c r="BK96" s="65"/>
      <c r="BL96" s="607">
        <f t="shared" si="43"/>
        <v>0</v>
      </c>
      <c r="BM96" s="55"/>
      <c r="BN96" s="55"/>
      <c r="BO96" s="55"/>
      <c r="BP96" s="55"/>
      <c r="BQ96" s="69">
        <f t="shared" si="35"/>
        <v>0</v>
      </c>
      <c r="BR96" s="55"/>
      <c r="BS96" s="55"/>
      <c r="BT96" s="223"/>
      <c r="BU96" s="353">
        <v>540000</v>
      </c>
      <c r="BV96" s="353">
        <v>1431000</v>
      </c>
      <c r="BW96" s="809"/>
      <c r="BX96"/>
      <c r="BY96"/>
      <c r="BZ96"/>
      <c r="CA96" s="748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</row>
    <row r="97" spans="1:101" x14ac:dyDescent="0.25">
      <c r="A97" s="54" t="s">
        <v>707</v>
      </c>
      <c r="B97" s="55" t="s">
        <v>708</v>
      </c>
      <c r="C97" s="55"/>
      <c r="D97" s="55"/>
      <c r="E97" s="55"/>
      <c r="F97" s="55"/>
      <c r="G97" s="55"/>
      <c r="H97" s="55"/>
      <c r="I97" s="55"/>
      <c r="J97" s="55"/>
      <c r="K97" s="55"/>
      <c r="L97" s="64"/>
      <c r="O97" s="55"/>
      <c r="P97" s="55"/>
      <c r="Q97" s="55"/>
      <c r="R97" s="55"/>
      <c r="S97" s="55"/>
      <c r="T97" s="55"/>
      <c r="U97" s="55"/>
      <c r="V97" s="69"/>
      <c r="W97" s="69"/>
      <c r="X97" s="122"/>
      <c r="Y97" s="1"/>
      <c r="Z97" s="140"/>
      <c r="AA97" s="171"/>
      <c r="AB97" s="55"/>
      <c r="AC97" s="223"/>
      <c r="AD97" s="55"/>
      <c r="AE97" s="122"/>
      <c r="AG97" s="55"/>
      <c r="AH97" s="55"/>
      <c r="AI97" s="230"/>
      <c r="AK97" s="230"/>
      <c r="AL97" s="55"/>
      <c r="AM97" s="55"/>
      <c r="AN97" s="223"/>
      <c r="AO97" s="223"/>
      <c r="AP97" s="222"/>
      <c r="AQ97" s="65"/>
      <c r="AR97" s="69"/>
      <c r="AS97" s="415"/>
      <c r="AT97" s="65"/>
      <c r="AU97" s="55"/>
      <c r="AV97" s="55"/>
      <c r="AW97" s="430"/>
      <c r="AX97" s="430"/>
      <c r="AY97" s="69"/>
      <c r="AZ97" s="69"/>
      <c r="BA97" s="69"/>
      <c r="BB97" s="501"/>
      <c r="BE97" s="501"/>
      <c r="BF97" s="221"/>
      <c r="BG97" s="517"/>
      <c r="BH97" s="222"/>
      <c r="BI97" s="65"/>
      <c r="BJ97" s="65"/>
      <c r="BK97" s="65"/>
      <c r="BL97" s="610"/>
      <c r="BM97" s="55">
        <v>0</v>
      </c>
      <c r="BN97" s="55"/>
      <c r="BO97" s="55">
        <v>0</v>
      </c>
      <c r="BP97" s="55"/>
      <c r="BQ97" s="69">
        <f t="shared" si="35"/>
        <v>0</v>
      </c>
      <c r="BR97" s="55"/>
      <c r="BS97" s="55"/>
      <c r="BT97" s="223"/>
      <c r="BU97" s="353"/>
      <c r="BV97" s="353"/>
      <c r="BW97" s="809"/>
    </row>
    <row r="98" spans="1:101" s="387" customFormat="1" x14ac:dyDescent="0.25">
      <c r="A98" s="54" t="s">
        <v>263</v>
      </c>
      <c r="B98" s="448" t="s">
        <v>264</v>
      </c>
      <c r="C98" s="383"/>
      <c r="D98" s="383"/>
      <c r="E98" s="383"/>
      <c r="F98" s="383"/>
      <c r="G98" s="383"/>
      <c r="H98" s="383"/>
      <c r="I98" s="383">
        <f t="shared" si="55"/>
        <v>0</v>
      </c>
      <c r="J98" s="383"/>
      <c r="K98" s="383"/>
      <c r="L98" s="383"/>
      <c r="M98" s="384">
        <f t="shared" si="56"/>
        <v>0</v>
      </c>
      <c r="N98" s="383"/>
      <c r="O98" s="383"/>
      <c r="P98" s="383"/>
      <c r="Q98" s="383"/>
      <c r="R98" s="383"/>
      <c r="S98" s="383"/>
      <c r="T98" s="383"/>
      <c r="U98" s="385">
        <f t="shared" si="51"/>
        <v>0</v>
      </c>
      <c r="V98" s="385">
        <f t="shared" si="52"/>
        <v>0</v>
      </c>
      <c r="W98" s="386"/>
      <c r="Y98" s="388" t="e">
        <f t="shared" si="53"/>
        <v>#DIV/0!</v>
      </c>
      <c r="Z98" s="385">
        <f t="shared" si="54"/>
        <v>0</v>
      </c>
      <c r="AA98" s="383"/>
      <c r="AB98" s="389"/>
      <c r="AC98" s="383"/>
      <c r="AD98" s="386"/>
      <c r="AE98" s="386"/>
      <c r="AF98" s="383"/>
      <c r="AG98" s="389"/>
      <c r="AH98" s="385">
        <f t="shared" si="32"/>
        <v>0</v>
      </c>
      <c r="AI98" s="390">
        <f t="shared" si="33"/>
        <v>0</v>
      </c>
      <c r="AJ98" s="383"/>
      <c r="AK98" s="385">
        <f t="shared" si="46"/>
        <v>0</v>
      </c>
      <c r="AM98" s="393"/>
      <c r="AN98" s="391"/>
      <c r="AO98" s="392"/>
      <c r="AP98" s="65"/>
      <c r="AQ98" s="222"/>
      <c r="AR98" s="65">
        <f t="shared" si="44"/>
        <v>0</v>
      </c>
      <c r="AS98" s="54"/>
      <c r="AT98" s="65"/>
      <c r="AU98" s="55"/>
      <c r="AV98" s="55"/>
      <c r="AW98" s="367"/>
      <c r="AX98" s="349"/>
      <c r="AY98" s="69">
        <f t="shared" si="42"/>
        <v>0</v>
      </c>
      <c r="AZ98" s="55">
        <f t="shared" si="59"/>
        <v>0</v>
      </c>
      <c r="BA98" s="69">
        <f t="shared" si="60"/>
        <v>0</v>
      </c>
      <c r="BB98" s="501"/>
      <c r="BC98" s="501"/>
      <c r="BD98" s="501"/>
      <c r="BE98" s="501"/>
      <c r="BF98" s="221"/>
      <c r="BG98" s="515">
        <f t="shared" si="57"/>
        <v>0</v>
      </c>
      <c r="BH98" s="569"/>
      <c r="BI98" s="222"/>
      <c r="BJ98" s="55"/>
      <c r="BK98" s="65"/>
      <c r="BL98" s="69">
        <f t="shared" si="43"/>
        <v>0</v>
      </c>
      <c r="BM98" s="55"/>
      <c r="BN98" s="55"/>
      <c r="BO98" s="55"/>
      <c r="BP98" s="55"/>
      <c r="BQ98" s="69">
        <f t="shared" si="35"/>
        <v>0</v>
      </c>
      <c r="BR98" s="55"/>
      <c r="BS98" s="55"/>
      <c r="BT98" s="223"/>
      <c r="BU98" s="353"/>
      <c r="BV98" s="353"/>
      <c r="BW98" s="809"/>
      <c r="BX98"/>
      <c r="BY98"/>
      <c r="BZ98"/>
      <c r="CA98" s="74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</row>
    <row r="99" spans="1:101" s="387" customFormat="1" x14ac:dyDescent="0.25">
      <c r="A99" s="54" t="s">
        <v>665</v>
      </c>
      <c r="B99" s="55" t="s">
        <v>666</v>
      </c>
      <c r="C99" s="394"/>
      <c r="D99" s="394"/>
      <c r="E99" s="394"/>
      <c r="F99" s="394"/>
      <c r="G99" s="394"/>
      <c r="H99" s="394"/>
      <c r="I99" s="394"/>
      <c r="J99" s="394"/>
      <c r="K99" s="394"/>
      <c r="L99" s="394"/>
      <c r="M99" s="384"/>
      <c r="N99" s="394"/>
      <c r="O99" s="394"/>
      <c r="P99" s="394"/>
      <c r="Q99" s="394"/>
      <c r="R99" s="394"/>
      <c r="S99" s="394"/>
      <c r="T99" s="394"/>
      <c r="U99" s="395"/>
      <c r="V99" s="395"/>
      <c r="W99" s="396"/>
      <c r="Y99" s="388"/>
      <c r="Z99" s="395"/>
      <c r="AA99" s="394"/>
      <c r="AB99" s="397"/>
      <c r="AC99" s="394"/>
      <c r="AD99" s="396"/>
      <c r="AE99" s="396"/>
      <c r="AF99" s="394"/>
      <c r="AG99" s="397"/>
      <c r="AH99" s="385"/>
      <c r="AI99" s="390"/>
      <c r="AJ99" s="383"/>
      <c r="AK99" s="385"/>
      <c r="AM99" s="393"/>
      <c r="AN99" s="391"/>
      <c r="AO99" s="392"/>
      <c r="AP99" s="65"/>
      <c r="AQ99" s="222"/>
      <c r="AR99" s="65"/>
      <c r="AS99" s="54"/>
      <c r="AT99" s="65"/>
      <c r="AU99" s="55"/>
      <c r="AV99" s="55"/>
      <c r="AW99" s="367"/>
      <c r="AX99" s="349"/>
      <c r="AY99" s="69"/>
      <c r="AZ99" s="55"/>
      <c r="BA99" s="69"/>
      <c r="BB99" s="501"/>
      <c r="BC99" s="501"/>
      <c r="BD99" s="501"/>
      <c r="BE99" s="501"/>
      <c r="BF99" s="221"/>
      <c r="BG99" s="515"/>
      <c r="BH99" s="569"/>
      <c r="BI99" s="222"/>
      <c r="BJ99" s="55"/>
      <c r="BK99" s="65"/>
      <c r="BL99" s="69"/>
      <c r="BM99" s="55"/>
      <c r="BN99" s="55"/>
      <c r="BO99" s="55"/>
      <c r="BP99" s="55"/>
      <c r="BQ99" s="69">
        <f t="shared" si="35"/>
        <v>0</v>
      </c>
      <c r="BR99" s="55"/>
      <c r="BS99" s="55"/>
      <c r="BT99" s="223"/>
      <c r="BU99" s="353"/>
      <c r="BV99" s="353"/>
      <c r="BW99" s="809"/>
      <c r="BX99"/>
      <c r="BY99"/>
      <c r="BZ99"/>
      <c r="CA99" s="748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</row>
    <row r="100" spans="1:101" s="387" customFormat="1" x14ac:dyDescent="0.25">
      <c r="A100" s="648" t="s">
        <v>265</v>
      </c>
      <c r="B100" s="452" t="s">
        <v>266</v>
      </c>
      <c r="C100" s="394"/>
      <c r="D100" s="394"/>
      <c r="E100" s="394"/>
      <c r="F100" s="394"/>
      <c r="G100" s="394"/>
      <c r="H100" s="394"/>
      <c r="I100" s="394">
        <f t="shared" si="55"/>
        <v>0</v>
      </c>
      <c r="J100" s="394"/>
      <c r="K100" s="394"/>
      <c r="L100" s="394"/>
      <c r="M100" s="384">
        <f t="shared" si="56"/>
        <v>0</v>
      </c>
      <c r="N100" s="394"/>
      <c r="O100" s="394"/>
      <c r="P100" s="394"/>
      <c r="Q100" s="394"/>
      <c r="R100" s="394"/>
      <c r="S100" s="394"/>
      <c r="T100" s="394"/>
      <c r="U100" s="395">
        <f t="shared" si="51"/>
        <v>0</v>
      </c>
      <c r="V100" s="395">
        <f t="shared" si="52"/>
        <v>0</v>
      </c>
      <c r="W100" s="396"/>
      <c r="Y100" s="388" t="e">
        <f t="shared" si="53"/>
        <v>#DIV/0!</v>
      </c>
      <c r="Z100" s="395">
        <f t="shared" si="54"/>
        <v>0</v>
      </c>
      <c r="AA100" s="394"/>
      <c r="AB100" s="397"/>
      <c r="AC100" s="394"/>
      <c r="AD100" s="396"/>
      <c r="AE100" s="396"/>
      <c r="AF100" s="394"/>
      <c r="AG100" s="397"/>
      <c r="AH100" s="385">
        <f t="shared" si="32"/>
        <v>0</v>
      </c>
      <c r="AI100" s="390">
        <f t="shared" si="33"/>
        <v>0</v>
      </c>
      <c r="AJ100" s="383"/>
      <c r="AK100" s="385">
        <f t="shared" si="46"/>
        <v>0</v>
      </c>
      <c r="AM100" s="393"/>
      <c r="AN100" s="391"/>
      <c r="AO100" s="392"/>
      <c r="AP100" s="65"/>
      <c r="AQ100" s="222"/>
      <c r="AR100" s="65">
        <f t="shared" si="44"/>
        <v>0</v>
      </c>
      <c r="AS100" s="54"/>
      <c r="AT100" s="65"/>
      <c r="AU100" s="55"/>
      <c r="AV100" s="55"/>
      <c r="AW100" s="367"/>
      <c r="AX100" s="349"/>
      <c r="AY100" s="69">
        <f t="shared" si="42"/>
        <v>0</v>
      </c>
      <c r="AZ100" s="55">
        <f t="shared" si="59"/>
        <v>0</v>
      </c>
      <c r="BA100" s="69">
        <f t="shared" si="60"/>
        <v>0</v>
      </c>
      <c r="BB100" s="501"/>
      <c r="BC100" s="501"/>
      <c r="BD100" s="501"/>
      <c r="BE100" s="501"/>
      <c r="BF100" s="221"/>
      <c r="BG100" s="515">
        <f t="shared" si="57"/>
        <v>0</v>
      </c>
      <c r="BH100" s="569"/>
      <c r="BI100" s="222"/>
      <c r="BJ100" s="55"/>
      <c r="BK100" s="65"/>
      <c r="BL100" s="69">
        <f t="shared" si="43"/>
        <v>0</v>
      </c>
      <c r="BM100" s="55"/>
      <c r="BN100" s="55"/>
      <c r="BO100" s="55"/>
      <c r="BP100" s="55"/>
      <c r="BQ100" s="69">
        <f t="shared" si="35"/>
        <v>0</v>
      </c>
      <c r="BR100" s="55"/>
      <c r="BS100" s="55"/>
      <c r="BT100" s="223"/>
      <c r="BU100" s="353"/>
      <c r="BV100" s="353"/>
      <c r="BW100" s="809"/>
      <c r="BX100"/>
      <c r="BY100"/>
      <c r="BZ100"/>
      <c r="CA100" s="748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</row>
    <row r="101" spans="1:101" s="387" customFormat="1" x14ac:dyDescent="0.25">
      <c r="A101" s="54" t="s">
        <v>72</v>
      </c>
      <c r="B101" s="448" t="s">
        <v>174</v>
      </c>
      <c r="C101" s="383">
        <v>0</v>
      </c>
      <c r="D101" s="383">
        <v>0</v>
      </c>
      <c r="E101" s="383">
        <v>0</v>
      </c>
      <c r="F101" s="383">
        <v>0</v>
      </c>
      <c r="G101" s="383"/>
      <c r="H101" s="383"/>
      <c r="I101" s="383">
        <f t="shared" si="55"/>
        <v>0</v>
      </c>
      <c r="J101" s="383">
        <v>0</v>
      </c>
      <c r="K101" s="383">
        <v>0</v>
      </c>
      <c r="L101" s="383">
        <v>0</v>
      </c>
      <c r="M101" s="383">
        <f t="shared" si="56"/>
        <v>0</v>
      </c>
      <c r="N101" s="383"/>
      <c r="O101" s="383"/>
      <c r="P101" s="383"/>
      <c r="Q101" s="383"/>
      <c r="R101" s="383"/>
      <c r="S101" s="383"/>
      <c r="T101" s="383"/>
      <c r="U101" s="385">
        <f t="shared" si="51"/>
        <v>0</v>
      </c>
      <c r="V101" s="385">
        <f t="shared" si="52"/>
        <v>0</v>
      </c>
      <c r="W101" s="386"/>
      <c r="X101" s="398"/>
      <c r="Y101" s="388" t="e">
        <f t="shared" si="53"/>
        <v>#DIV/0!</v>
      </c>
      <c r="Z101" s="385">
        <f t="shared" si="54"/>
        <v>0</v>
      </c>
      <c r="AA101" s="383"/>
      <c r="AB101" s="383"/>
      <c r="AC101" s="383"/>
      <c r="AD101" s="386"/>
      <c r="AE101" s="386"/>
      <c r="AF101" s="383"/>
      <c r="AG101" s="383"/>
      <c r="AH101" s="385">
        <f t="shared" si="32"/>
        <v>0</v>
      </c>
      <c r="AI101" s="385">
        <f t="shared" si="33"/>
        <v>0</v>
      </c>
      <c r="AJ101" s="383"/>
      <c r="AK101" s="385">
        <f t="shared" si="46"/>
        <v>0</v>
      </c>
      <c r="AM101" s="393"/>
      <c r="AN101" s="391"/>
      <c r="AO101" s="392"/>
      <c r="AP101" s="65"/>
      <c r="AQ101" s="222"/>
      <c r="AR101" s="65">
        <f t="shared" si="44"/>
        <v>0</v>
      </c>
      <c r="AS101" s="54"/>
      <c r="AT101" s="65"/>
      <c r="AU101" s="55"/>
      <c r="AV101" s="55"/>
      <c r="AW101" s="367"/>
      <c r="AX101" s="349"/>
      <c r="AY101" s="69">
        <f t="shared" si="42"/>
        <v>0</v>
      </c>
      <c r="AZ101" s="55">
        <f t="shared" si="59"/>
        <v>0</v>
      </c>
      <c r="BA101" s="69">
        <f t="shared" si="60"/>
        <v>0</v>
      </c>
      <c r="BB101" s="501"/>
      <c r="BC101" s="501"/>
      <c r="BD101" s="501"/>
      <c r="BE101" s="501"/>
      <c r="BF101" s="221"/>
      <c r="BG101" s="515">
        <f t="shared" si="57"/>
        <v>0</v>
      </c>
      <c r="BH101" s="569"/>
      <c r="BI101" s="222"/>
      <c r="BJ101" s="55"/>
      <c r="BK101" s="65"/>
      <c r="BL101" s="69">
        <f t="shared" si="43"/>
        <v>0</v>
      </c>
      <c r="BM101" s="55"/>
      <c r="BN101" s="55"/>
      <c r="BO101" s="55"/>
      <c r="BP101" s="55"/>
      <c r="BQ101" s="69">
        <f t="shared" si="35"/>
        <v>0</v>
      </c>
      <c r="BR101" s="55"/>
      <c r="BS101" s="55"/>
      <c r="BT101" s="223"/>
      <c r="BU101" s="353"/>
      <c r="BV101" s="353"/>
      <c r="BW101" s="809"/>
      <c r="BX101"/>
      <c r="BY101"/>
      <c r="BZ101"/>
      <c r="CA101" s="748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</row>
    <row r="102" spans="1:101" s="387" customFormat="1" x14ac:dyDescent="0.25">
      <c r="A102" s="54"/>
      <c r="B102" s="448"/>
      <c r="C102" s="384"/>
      <c r="D102" s="384"/>
      <c r="E102" s="384"/>
      <c r="F102" s="384"/>
      <c r="G102" s="384"/>
      <c r="H102" s="384"/>
      <c r="I102" s="384">
        <f t="shared" si="55"/>
        <v>0</v>
      </c>
      <c r="J102" s="384"/>
      <c r="K102" s="384"/>
      <c r="L102" s="384"/>
      <c r="M102" s="384">
        <f t="shared" si="56"/>
        <v>0</v>
      </c>
      <c r="N102" s="384"/>
      <c r="O102" s="384"/>
      <c r="P102" s="384"/>
      <c r="Q102" s="384"/>
      <c r="R102" s="384"/>
      <c r="S102" s="384"/>
      <c r="T102" s="384"/>
      <c r="W102" s="399"/>
      <c r="AD102" s="400"/>
      <c r="AE102" s="400"/>
      <c r="AF102" s="401"/>
      <c r="AG102" s="401"/>
      <c r="AJ102" s="401"/>
      <c r="AP102" s="65"/>
      <c r="AQ102" s="222"/>
      <c r="AR102" s="65">
        <f t="shared" si="44"/>
        <v>0</v>
      </c>
      <c r="AS102" s="54"/>
      <c r="AT102" s="65"/>
      <c r="AU102" s="211"/>
      <c r="AV102" s="211"/>
      <c r="AW102" s="362"/>
      <c r="AX102" s="457"/>
      <c r="AY102"/>
      <c r="AZ102" s="65"/>
      <c r="BA102" s="444"/>
      <c r="BB102" s="506"/>
      <c r="BC102" s="507"/>
      <c r="BD102" s="507"/>
      <c r="BE102" s="506"/>
      <c r="BF102" s="219"/>
      <c r="BH102" s="14"/>
      <c r="BI102" s="14"/>
      <c r="BJ102" s="55"/>
      <c r="BK102" s="14"/>
      <c r="BL102"/>
      <c r="BM102" s="1"/>
      <c r="BN102" s="1"/>
      <c r="BO102" s="1"/>
      <c r="BP102" s="1"/>
      <c r="BQ102"/>
      <c r="BR102" s="1"/>
      <c r="BS102"/>
      <c r="BT102"/>
      <c r="BU102" s="353"/>
      <c r="BV102" s="353"/>
      <c r="BW102" s="54"/>
      <c r="BX102"/>
      <c r="BY102"/>
      <c r="BZ102"/>
      <c r="CA102" s="748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</row>
    <row r="103" spans="1:101" s="387" customFormat="1" x14ac:dyDescent="0.25">
      <c r="A103" s="373" t="s">
        <v>3</v>
      </c>
      <c r="B103" s="453"/>
      <c r="C103" s="384">
        <f t="shared" ref="C103:H103" si="61">SUM(C2:C37)</f>
        <v>29664144</v>
      </c>
      <c r="D103" s="384">
        <f t="shared" si="61"/>
        <v>30526878</v>
      </c>
      <c r="E103" s="384">
        <f t="shared" si="61"/>
        <v>34533686</v>
      </c>
      <c r="F103" s="384">
        <f t="shared" si="61"/>
        <v>32392457</v>
      </c>
      <c r="G103" s="384">
        <f t="shared" si="61"/>
        <v>36878703</v>
      </c>
      <c r="H103" s="384">
        <f t="shared" si="61"/>
        <v>34116137</v>
      </c>
      <c r="I103" s="384">
        <f t="shared" si="55"/>
        <v>37217604</v>
      </c>
      <c r="J103" s="384">
        <f>SUM(J2:J37)</f>
        <v>42810267</v>
      </c>
      <c r="K103" s="384">
        <v>41675367.420000002</v>
      </c>
      <c r="L103" s="384" t="e">
        <f>SUM(L2:L37)</f>
        <v>#REF!</v>
      </c>
      <c r="M103" s="384" t="e">
        <f t="shared" si="56"/>
        <v>#REF!</v>
      </c>
      <c r="N103" s="384">
        <f t="shared" ref="N103:V103" si="62">SUM(N2:N37)</f>
        <v>53995054</v>
      </c>
      <c r="O103" s="384">
        <f t="shared" si="62"/>
        <v>42844545</v>
      </c>
      <c r="P103" s="384">
        <f t="shared" si="62"/>
        <v>47570161</v>
      </c>
      <c r="Q103" s="384">
        <f t="shared" si="62"/>
        <v>70118517</v>
      </c>
      <c r="R103" s="384">
        <f t="shared" si="62"/>
        <v>54665054</v>
      </c>
      <c r="S103" s="384">
        <f t="shared" si="62"/>
        <v>54540073</v>
      </c>
      <c r="T103" s="384">
        <f t="shared" si="62"/>
        <v>70426279</v>
      </c>
      <c r="U103" s="384">
        <f t="shared" si="62"/>
        <v>55934279</v>
      </c>
      <c r="V103" s="384">
        <f t="shared" si="62"/>
        <v>55834279</v>
      </c>
      <c r="W103" s="399">
        <f t="shared" si="58"/>
        <v>0.97507421164756591</v>
      </c>
      <c r="Z103" s="401">
        <f>SUM(Z2:Z37)</f>
        <v>55435319</v>
      </c>
      <c r="AA103" s="401">
        <f>SUM(AA2:AA37)</f>
        <v>26292240</v>
      </c>
      <c r="AB103" s="401">
        <f>SUM(AB2:AB37)</f>
        <v>37551760</v>
      </c>
      <c r="AC103" s="401">
        <f>SUM(AC2:AC37)</f>
        <v>52558266</v>
      </c>
      <c r="AD103" s="401">
        <f t="shared" ref="AD103:AJ103" si="63">SUM(AD2:AD37)</f>
        <v>302.99419642548662</v>
      </c>
      <c r="AE103" s="401"/>
      <c r="AF103" s="401">
        <f t="shared" si="63"/>
        <v>58900439</v>
      </c>
      <c r="AG103" s="401">
        <f t="shared" si="63"/>
        <v>49759139</v>
      </c>
      <c r="AH103" s="401">
        <f t="shared" si="63"/>
        <v>49771257.81818182</v>
      </c>
      <c r="AI103" s="401">
        <f t="shared" si="63"/>
        <v>50766682.974545456</v>
      </c>
      <c r="AJ103" s="401">
        <f t="shared" si="63"/>
        <v>65462761.200000003</v>
      </c>
      <c r="AK103" s="401">
        <f t="shared" ref="AK103:AU103" si="64">SUM(AK2:AK37)</f>
        <v>59411110.560000002</v>
      </c>
      <c r="AL103" s="401">
        <f t="shared" si="64"/>
        <v>0</v>
      </c>
      <c r="AM103" s="401">
        <f t="shared" si="64"/>
        <v>58203874</v>
      </c>
      <c r="AN103" s="401">
        <f t="shared" si="64"/>
        <v>44101110</v>
      </c>
      <c r="AO103" s="401">
        <f t="shared" si="64"/>
        <v>16513210</v>
      </c>
      <c r="AP103" s="65">
        <f t="shared" si="64"/>
        <v>49411110</v>
      </c>
      <c r="AQ103" s="65">
        <f t="shared" si="64"/>
        <v>30467611</v>
      </c>
      <c r="AR103" s="65">
        <f t="shared" si="64"/>
        <v>18943499</v>
      </c>
      <c r="AS103" s="65">
        <f t="shared" si="64"/>
        <v>241.16916077840438</v>
      </c>
      <c r="AT103" s="65">
        <f t="shared" si="64"/>
        <v>33763135</v>
      </c>
      <c r="AU103" s="65">
        <f t="shared" si="64"/>
        <v>15679471</v>
      </c>
      <c r="AV103" s="222"/>
      <c r="AW103" s="458">
        <f t="shared" ref="AW103:AX103" si="65">SUM(AW2:AW37)</f>
        <v>59411110</v>
      </c>
      <c r="AX103" s="459">
        <f t="shared" si="65"/>
        <v>56487540.880000003</v>
      </c>
      <c r="AY103" s="459">
        <f t="shared" ref="AY103:BF103" si="66">SUM(AY2:AY37)</f>
        <v>54987541.120000005</v>
      </c>
      <c r="AZ103" s="424">
        <f t="shared" si="66"/>
        <v>52487541</v>
      </c>
      <c r="BA103" s="459">
        <f t="shared" si="66"/>
        <v>53197688</v>
      </c>
      <c r="BB103" s="501">
        <f t="shared" si="66"/>
        <v>52487541</v>
      </c>
      <c r="BC103" s="501">
        <f t="shared" si="66"/>
        <v>52757989</v>
      </c>
      <c r="BD103" s="501">
        <f t="shared" si="66"/>
        <v>22003756</v>
      </c>
      <c r="BE103" s="501">
        <f t="shared" si="66"/>
        <v>34600469</v>
      </c>
      <c r="BF103" s="221">
        <f t="shared" si="66"/>
        <v>37166636</v>
      </c>
      <c r="BG103" s="383">
        <f t="shared" ref="BG103:BL103" si="67">SUM(BG2:BG37)</f>
        <v>44199963.200000003</v>
      </c>
      <c r="BH103" s="389">
        <f t="shared" si="67"/>
        <v>60575578</v>
      </c>
      <c r="BI103" s="222">
        <f t="shared" si="67"/>
        <v>60768170</v>
      </c>
      <c r="BJ103" s="389">
        <f t="shared" si="67"/>
        <v>24863935</v>
      </c>
      <c r="BK103" s="65">
        <f t="shared" si="67"/>
        <v>40294632</v>
      </c>
      <c r="BL103" s="65">
        <f t="shared" si="67"/>
        <v>47677758.799999997</v>
      </c>
      <c r="BM103" s="65">
        <f t="shared" ref="BM103:BN103" si="68">SUM(BM2:BM37)</f>
        <v>67128241</v>
      </c>
      <c r="BN103" s="65">
        <f t="shared" si="68"/>
        <v>67128241</v>
      </c>
      <c r="BO103" s="65">
        <f t="shared" ref="BO103" si="69">SUM(BO2:BO37)</f>
        <v>44359274</v>
      </c>
      <c r="BP103" s="65">
        <f t="shared" ref="BP103:BQ103" si="70">SUM(BP2:BP37)</f>
        <v>51306976.399999999</v>
      </c>
      <c r="BQ103" s="65">
        <f t="shared" si="70"/>
        <v>56437674.299999997</v>
      </c>
      <c r="BR103" s="65">
        <f t="shared" ref="BR103:BS103" si="71">SUM(BR2:BR37)</f>
        <v>78571468</v>
      </c>
      <c r="BS103" s="65">
        <f t="shared" si="71"/>
        <v>78571468</v>
      </c>
      <c r="BT103" s="222">
        <f t="shared" ref="BT103:BV103" si="72">SUM(BT2:BT37)</f>
        <v>72596468</v>
      </c>
      <c r="BU103" s="801">
        <f t="shared" si="72"/>
        <v>84585630</v>
      </c>
      <c r="BV103" s="801">
        <f t="shared" si="72"/>
        <v>93583499</v>
      </c>
      <c r="BW103" s="54"/>
      <c r="BX103"/>
      <c r="BY103"/>
      <c r="BZ103"/>
      <c r="CA103" s="748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</row>
    <row r="104" spans="1:101" s="387" customFormat="1" x14ac:dyDescent="0.25">
      <c r="A104" s="373" t="s">
        <v>4</v>
      </c>
      <c r="B104" s="453"/>
      <c r="C104" s="384">
        <f>SUM(C38:C101)</f>
        <v>29664864</v>
      </c>
      <c r="D104" s="384">
        <f t="shared" ref="D104:L104" si="73">SUM(D38:D101)</f>
        <v>30129316.689999998</v>
      </c>
      <c r="E104" s="384">
        <f t="shared" si="73"/>
        <v>34533686</v>
      </c>
      <c r="F104" s="384">
        <f t="shared" si="73"/>
        <v>29603237</v>
      </c>
      <c r="G104" s="384">
        <f t="shared" ref="G104:H104" si="74">SUM(G38:G101)</f>
        <v>36878703</v>
      </c>
      <c r="H104" s="384">
        <f t="shared" si="74"/>
        <v>32697221</v>
      </c>
      <c r="I104" s="384">
        <f t="shared" si="55"/>
        <v>35669695.636363633</v>
      </c>
      <c r="J104" s="384">
        <f t="shared" ref="J104" si="75">SUM(J38:J101)</f>
        <v>42810267</v>
      </c>
      <c r="K104" s="384">
        <v>41675367.420000002</v>
      </c>
      <c r="L104" s="384" t="e">
        <f t="shared" si="73"/>
        <v>#REF!</v>
      </c>
      <c r="M104" s="384" t="e">
        <f t="shared" si="56"/>
        <v>#REF!</v>
      </c>
      <c r="N104" s="384">
        <f t="shared" ref="N104:O104" si="76">SUM(N38:N101)</f>
        <v>53995054</v>
      </c>
      <c r="O104" s="384">
        <f t="shared" si="76"/>
        <v>41135825</v>
      </c>
      <c r="P104" s="384">
        <f t="shared" ref="P104:Q104" si="77">SUM(P38:P101)</f>
        <v>44309815</v>
      </c>
      <c r="Q104" s="384">
        <f t="shared" si="77"/>
        <v>70118517</v>
      </c>
      <c r="R104" s="384">
        <f t="shared" ref="R104:T104" si="78">SUM(R38:R101)</f>
        <v>54665054</v>
      </c>
      <c r="S104" s="384">
        <f t="shared" si="78"/>
        <v>52988792</v>
      </c>
      <c r="T104" s="384">
        <f t="shared" si="78"/>
        <v>70426279</v>
      </c>
      <c r="U104" s="384">
        <f t="shared" ref="U104:V104" si="79">SUM(U38:U101)</f>
        <v>55934279</v>
      </c>
      <c r="V104" s="384">
        <f t="shared" si="79"/>
        <v>55834279</v>
      </c>
      <c r="W104" s="399">
        <f t="shared" si="58"/>
        <v>0.94734021689990855</v>
      </c>
      <c r="Z104" s="401">
        <f t="shared" ref="Z104:AB104" si="80">SUM(Z38:Z101)</f>
        <v>55435319</v>
      </c>
      <c r="AA104" s="401">
        <f t="shared" si="80"/>
        <v>24750264</v>
      </c>
      <c r="AB104" s="401">
        <f t="shared" si="80"/>
        <v>36239006</v>
      </c>
      <c r="AC104" s="401">
        <f t="shared" ref="AC104:AJ104" si="81">SUM(AC38:AC101)</f>
        <v>43332422</v>
      </c>
      <c r="AD104" s="401">
        <f t="shared" si="81"/>
        <v>1334.0104030491677</v>
      </c>
      <c r="AE104" s="401"/>
      <c r="AF104" s="401">
        <f t="shared" si="81"/>
        <v>60451720</v>
      </c>
      <c r="AG104" s="401">
        <f t="shared" si="81"/>
        <v>49939605</v>
      </c>
      <c r="AH104" s="401">
        <f t="shared" si="81"/>
        <v>54067099.200000003</v>
      </c>
      <c r="AI104" s="401">
        <f t="shared" si="81"/>
        <v>54889675.343999997</v>
      </c>
      <c r="AJ104" s="401">
        <f t="shared" si="81"/>
        <v>65462761.200000003</v>
      </c>
      <c r="AK104" s="401">
        <f t="shared" ref="AK104:AU104" si="82">SUM(AK38:AK101)</f>
        <v>59411110.560000002</v>
      </c>
      <c r="AL104" s="401">
        <f t="shared" si="82"/>
        <v>0</v>
      </c>
      <c r="AM104" s="401">
        <f t="shared" si="82"/>
        <v>58142927</v>
      </c>
      <c r="AN104" s="401">
        <f t="shared" si="82"/>
        <v>45531839</v>
      </c>
      <c r="AO104" s="401">
        <f t="shared" si="82"/>
        <v>15146443</v>
      </c>
      <c r="AP104" s="65">
        <f t="shared" si="82"/>
        <v>49371110</v>
      </c>
      <c r="AQ104" s="65">
        <f t="shared" si="82"/>
        <v>30525052</v>
      </c>
      <c r="AR104" s="65">
        <f t="shared" si="82"/>
        <v>18846058</v>
      </c>
      <c r="AS104" s="65">
        <f t="shared" si="82"/>
        <v>883.12190458364591</v>
      </c>
      <c r="AT104" s="65">
        <f t="shared" si="82"/>
        <v>33739195</v>
      </c>
      <c r="AU104" s="65">
        <f t="shared" si="82"/>
        <v>15631915</v>
      </c>
      <c r="AV104" s="222"/>
      <c r="AW104" s="458">
        <f t="shared" ref="AW104:AX104" si="83">SUM(AW38:AW101)</f>
        <v>59411110</v>
      </c>
      <c r="AX104" s="459">
        <f t="shared" si="83"/>
        <v>56487540.880000003</v>
      </c>
      <c r="AY104" s="459">
        <f t="shared" ref="AY104:BF104" si="84">SUM(AY38:AY101)</f>
        <v>54987541.120000005</v>
      </c>
      <c r="AZ104" s="424">
        <f t="shared" si="84"/>
        <v>52487541</v>
      </c>
      <c r="BA104" s="459">
        <f t="shared" si="84"/>
        <v>53197688</v>
      </c>
      <c r="BB104" s="501">
        <f t="shared" si="84"/>
        <v>52487541</v>
      </c>
      <c r="BC104" s="501">
        <f t="shared" si="84"/>
        <v>52757989</v>
      </c>
      <c r="BD104" s="501">
        <f t="shared" si="84"/>
        <v>22071557</v>
      </c>
      <c r="BE104" s="501">
        <f t="shared" si="84"/>
        <v>33753369</v>
      </c>
      <c r="BF104" s="221">
        <f t="shared" si="84"/>
        <v>35739087</v>
      </c>
      <c r="BG104" s="383">
        <f t="shared" ref="BG104:BL104" si="85">SUM(BG38:BG101)</f>
        <v>40430437.709090911</v>
      </c>
      <c r="BH104" s="389">
        <f t="shared" si="85"/>
        <v>60575578</v>
      </c>
      <c r="BI104" s="222">
        <f t="shared" si="85"/>
        <v>60768169.979999997</v>
      </c>
      <c r="BJ104" s="389">
        <f t="shared" si="85"/>
        <v>22619616</v>
      </c>
      <c r="BK104" s="65">
        <f t="shared" si="85"/>
        <v>37533430</v>
      </c>
      <c r="BL104" s="65">
        <f t="shared" si="85"/>
        <v>47677758.800000004</v>
      </c>
      <c r="BM104" s="65">
        <f t="shared" ref="BM104:BN104" si="86">SUM(BM38:BM101)</f>
        <v>67128241.062399998</v>
      </c>
      <c r="BN104" s="65">
        <f t="shared" si="86"/>
        <v>67128240.5</v>
      </c>
      <c r="BO104" s="65">
        <f t="shared" ref="BO104" si="87">SUM(BO38:BO101)</f>
        <v>41839998</v>
      </c>
      <c r="BP104" s="65">
        <f t="shared" ref="BP104:BQ104" si="88">SUM(BP38:BP101)</f>
        <v>51306976.599999994</v>
      </c>
      <c r="BQ104" s="65">
        <f t="shared" si="88"/>
        <v>56437674.259999998</v>
      </c>
      <c r="BR104" s="65">
        <f t="shared" ref="BR104:BS104" si="89">SUM(BR38:BR101)</f>
        <v>78571468</v>
      </c>
      <c r="BS104" s="65">
        <f t="shared" si="89"/>
        <v>78571468</v>
      </c>
      <c r="BT104" s="222">
        <f t="shared" ref="BT104:BV104" si="90">SUM(BT38:BT101)</f>
        <v>72596468</v>
      </c>
      <c r="BU104" s="801">
        <f t="shared" si="90"/>
        <v>84585630</v>
      </c>
      <c r="BV104" s="801">
        <f t="shared" si="90"/>
        <v>93583499</v>
      </c>
      <c r="BW104" s="54"/>
      <c r="BX104"/>
      <c r="BY104"/>
      <c r="BZ104"/>
      <c r="CA104" s="748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</row>
    <row r="105" spans="1:101" s="387" customFormat="1" x14ac:dyDescent="0.25">
      <c r="A105" s="373"/>
      <c r="B105" s="448" t="s">
        <v>308</v>
      </c>
      <c r="C105" s="384">
        <f>SUM(C39:C55)</f>
        <v>11992364</v>
      </c>
      <c r="D105" s="384">
        <f t="shared" ref="D105:L105" si="91">SUM(D39:D55)</f>
        <v>12218139.689999999</v>
      </c>
      <c r="E105" s="384">
        <f t="shared" si="91"/>
        <v>14818106</v>
      </c>
      <c r="F105" s="384">
        <f t="shared" si="91"/>
        <v>12270740</v>
      </c>
      <c r="G105" s="384">
        <f t="shared" si="91"/>
        <v>14818106</v>
      </c>
      <c r="H105" s="384">
        <f t="shared" si="91"/>
        <v>13548387</v>
      </c>
      <c r="I105" s="384">
        <f t="shared" si="55"/>
        <v>14780058.545454545</v>
      </c>
      <c r="J105" s="384">
        <f t="shared" ref="J105" si="92">SUM(J39:J55)</f>
        <v>18275147</v>
      </c>
      <c r="K105" s="384">
        <v>18275147.420000002</v>
      </c>
      <c r="L105" s="384" t="e">
        <f t="shared" si="91"/>
        <v>#REF!</v>
      </c>
      <c r="M105" s="384" t="e">
        <f t="shared" si="56"/>
        <v>#REF!</v>
      </c>
      <c r="N105" s="384">
        <f t="shared" ref="N105:O105" si="93">SUM(N39:N55)</f>
        <v>18275147</v>
      </c>
      <c r="O105" s="384">
        <f t="shared" si="93"/>
        <v>13433829</v>
      </c>
      <c r="P105" s="384">
        <f t="shared" ref="P105:Q105" si="94">SUM(P39:P55)</f>
        <v>15143013</v>
      </c>
      <c r="Q105" s="384">
        <f t="shared" si="94"/>
        <v>18980197</v>
      </c>
      <c r="R105" s="384">
        <f t="shared" ref="R105:T105" si="95">SUM(R39:R55)</f>
        <v>18805147</v>
      </c>
      <c r="S105" s="384">
        <f t="shared" si="95"/>
        <v>18744578</v>
      </c>
      <c r="T105" s="384">
        <f t="shared" si="95"/>
        <v>20908919</v>
      </c>
      <c r="U105" s="384">
        <f t="shared" ref="U105:V105" si="96">SUM(U39:U55)</f>
        <v>20908919</v>
      </c>
      <c r="V105" s="384">
        <f t="shared" si="96"/>
        <v>20808919</v>
      </c>
      <c r="W105" s="399">
        <f t="shared" si="58"/>
        <v>0.89648718807509853</v>
      </c>
      <c r="Z105" s="401">
        <f t="shared" ref="Z105:AB105" si="97">SUM(Z39:Z55)</f>
        <v>20808919</v>
      </c>
      <c r="AA105" s="401">
        <f t="shared" si="97"/>
        <v>9717263</v>
      </c>
      <c r="AB105" s="401">
        <f t="shared" si="97"/>
        <v>13868904</v>
      </c>
      <c r="AC105" s="401">
        <f t="shared" ref="AC105:AJ105" si="98">SUM(AC39:AC55)</f>
        <v>13070338</v>
      </c>
      <c r="AD105" s="401">
        <f t="shared" si="98"/>
        <v>516.44797361657243</v>
      </c>
      <c r="AE105" s="401"/>
      <c r="AF105" s="401">
        <f t="shared" si="98"/>
        <v>20808919</v>
      </c>
      <c r="AG105" s="401">
        <f t="shared" si="98"/>
        <v>17486273</v>
      </c>
      <c r="AH105" s="401">
        <f t="shared" si="98"/>
        <v>20983527.600000001</v>
      </c>
      <c r="AI105" s="401">
        <f t="shared" si="98"/>
        <v>21144432.311999999</v>
      </c>
      <c r="AJ105" s="401">
        <f t="shared" si="98"/>
        <v>22927761.200000003</v>
      </c>
      <c r="AK105" s="401">
        <f t="shared" ref="AK105:AU105" si="99">SUM(AK39:AK55)</f>
        <v>22959660.560000002</v>
      </c>
      <c r="AL105" s="401">
        <f t="shared" si="99"/>
        <v>0</v>
      </c>
      <c r="AM105" s="401">
        <f t="shared" si="99"/>
        <v>21370811</v>
      </c>
      <c r="AN105" s="401">
        <f t="shared" si="99"/>
        <v>19080389</v>
      </c>
      <c r="AO105" s="401">
        <f t="shared" si="99"/>
        <v>8958490</v>
      </c>
      <c r="AP105" s="65">
        <f t="shared" si="99"/>
        <v>22959660</v>
      </c>
      <c r="AQ105" s="65">
        <f t="shared" si="99"/>
        <v>17142633</v>
      </c>
      <c r="AR105" s="65">
        <f t="shared" si="99"/>
        <v>5817027</v>
      </c>
      <c r="AS105" s="65">
        <f t="shared" si="99"/>
        <v>486.85419389050679</v>
      </c>
      <c r="AT105" s="65">
        <f t="shared" si="99"/>
        <v>18984791</v>
      </c>
      <c r="AU105" s="65">
        <f t="shared" si="99"/>
        <v>3974869</v>
      </c>
      <c r="AV105" s="222"/>
      <c r="AW105" s="458">
        <f t="shared" ref="AW105:AX105" si="100">SUM(AW39:AW55)</f>
        <v>22959660</v>
      </c>
      <c r="AX105" s="459">
        <f t="shared" si="100"/>
        <v>24486091.120000005</v>
      </c>
      <c r="AY105" s="459">
        <f t="shared" ref="AY105:BF105" si="101">SUM(AY39:AY55)</f>
        <v>24486091.120000005</v>
      </c>
      <c r="AZ105" s="424">
        <f t="shared" si="101"/>
        <v>22747997</v>
      </c>
      <c r="BA105" s="459">
        <f t="shared" si="101"/>
        <v>23458144</v>
      </c>
      <c r="BB105" s="501">
        <f t="shared" si="101"/>
        <v>22747997</v>
      </c>
      <c r="BC105" s="501">
        <f t="shared" si="101"/>
        <v>22747997</v>
      </c>
      <c r="BD105" s="501">
        <f t="shared" si="101"/>
        <v>13292349</v>
      </c>
      <c r="BE105" s="501">
        <f t="shared" si="101"/>
        <v>16388205</v>
      </c>
      <c r="BF105" s="221">
        <f t="shared" si="101"/>
        <v>17659278</v>
      </c>
      <c r="BG105" s="383">
        <f t="shared" ref="BG105:BI105" si="102">SUM(BG39:BG55)</f>
        <v>19264666.90909091</v>
      </c>
      <c r="BH105" s="389">
        <f t="shared" si="102"/>
        <v>27543578</v>
      </c>
      <c r="BI105" s="222">
        <f t="shared" si="102"/>
        <v>27543578</v>
      </c>
      <c r="BJ105" s="383">
        <f t="shared" ref="BJ105:BL105" si="103">SUM(BJ39:BJ55)</f>
        <v>12606837</v>
      </c>
      <c r="BK105" s="65">
        <f t="shared" si="103"/>
        <v>19894324</v>
      </c>
      <c r="BL105" s="65">
        <f t="shared" si="103"/>
        <v>27543578</v>
      </c>
      <c r="BM105" s="65">
        <f t="shared" ref="BM105:BN105" si="104">SUM(BM39:BM55)</f>
        <v>34289141.562399998</v>
      </c>
      <c r="BN105" s="65">
        <f t="shared" si="104"/>
        <v>34289141</v>
      </c>
      <c r="BO105" s="65">
        <f t="shared" ref="BO105" si="105">SUM(BO39:BO55)</f>
        <v>21664163</v>
      </c>
      <c r="BP105" s="65">
        <f t="shared" ref="BP105:BQ105" si="106">SUM(BP39:BP55)</f>
        <v>27095974.599999994</v>
      </c>
      <c r="BQ105" s="65">
        <f t="shared" si="106"/>
        <v>29805572.059999999</v>
      </c>
      <c r="BR105" s="65">
        <f t="shared" ref="BR105:BS105" si="107">SUM(BR39:BR55)</f>
        <v>31041468</v>
      </c>
      <c r="BS105" s="65">
        <f t="shared" si="107"/>
        <v>31041468</v>
      </c>
      <c r="BT105" s="222">
        <f t="shared" ref="BT105:BV105" si="108">SUM(BT39:BT55)</f>
        <v>31041468</v>
      </c>
      <c r="BU105" s="801">
        <f t="shared" si="108"/>
        <v>42304345</v>
      </c>
      <c r="BV105" s="801">
        <f t="shared" si="108"/>
        <v>41473899</v>
      </c>
      <c r="BW105" s="54"/>
      <c r="BX105"/>
      <c r="BY105"/>
      <c r="BZ105"/>
      <c r="CA105" s="748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</row>
    <row r="106" spans="1:101" s="387" customFormat="1" x14ac:dyDescent="0.25">
      <c r="A106" s="373"/>
      <c r="B106" s="448" t="s">
        <v>309</v>
      </c>
      <c r="C106" s="384">
        <f>SUM(C56:C88)+C100+C101</f>
        <v>15939500</v>
      </c>
      <c r="D106" s="384">
        <f t="shared" ref="D106:L106" si="109">SUM(D56:D88)+D100+D101</f>
        <v>15609424</v>
      </c>
      <c r="E106" s="384">
        <f t="shared" si="109"/>
        <v>17602100</v>
      </c>
      <c r="F106" s="384">
        <f t="shared" si="109"/>
        <v>15552245</v>
      </c>
      <c r="G106" s="384">
        <f t="shared" si="109"/>
        <v>19747117</v>
      </c>
      <c r="H106" s="384">
        <f t="shared" si="109"/>
        <v>16994804</v>
      </c>
      <c r="I106" s="384">
        <f t="shared" si="55"/>
        <v>18539786.181818184</v>
      </c>
      <c r="J106" s="384">
        <f t="shared" ref="J106" si="110">SUM(J56:J88)+J100+J101</f>
        <v>21190320</v>
      </c>
      <c r="K106" s="384">
        <v>20055420</v>
      </c>
      <c r="L106" s="384">
        <f t="shared" si="109"/>
        <v>30855420.000000041</v>
      </c>
      <c r="M106" s="384">
        <f t="shared" si="56"/>
        <v>166.42813297523193</v>
      </c>
      <c r="N106" s="384">
        <f t="shared" ref="N106:O106" si="111">SUM(N56:N88)+N100+N101</f>
        <v>32375107</v>
      </c>
      <c r="O106" s="384">
        <f t="shared" si="111"/>
        <v>25390952</v>
      </c>
      <c r="P106" s="384">
        <f t="shared" ref="P106:Q106" si="112">SUM(P56:P88)+P100+P101</f>
        <v>26766858</v>
      </c>
      <c r="Q106" s="384">
        <f t="shared" si="112"/>
        <v>34811320</v>
      </c>
      <c r="R106" s="384">
        <f t="shared" ref="R106:T106" si="113">SUM(R56:R88)+R100+R101</f>
        <v>32315386</v>
      </c>
      <c r="S106" s="384">
        <f t="shared" si="113"/>
        <v>30934270</v>
      </c>
      <c r="T106" s="384">
        <f t="shared" si="113"/>
        <v>33190360</v>
      </c>
      <c r="U106" s="384">
        <f t="shared" ref="U106:V106" si="114">SUM(U56:U88)+U100+U101</f>
        <v>33190360</v>
      </c>
      <c r="V106" s="384">
        <f t="shared" si="114"/>
        <v>33190360</v>
      </c>
      <c r="W106" s="399">
        <f t="shared" si="58"/>
        <v>0.93202574482470213</v>
      </c>
      <c r="Z106" s="401">
        <f t="shared" ref="Z106:AB106" si="115">SUM(Z56:Z88)+Z100+Z101</f>
        <v>32791400</v>
      </c>
      <c r="AA106" s="401">
        <f>SUM(AA56:AA88)+AA100+AA101</f>
        <v>10392983</v>
      </c>
      <c r="AB106" s="401">
        <f t="shared" si="115"/>
        <v>17530429</v>
      </c>
      <c r="AC106" s="401">
        <f t="shared" ref="AC106:AJ106" si="116">SUM(AC56:AC88)+AC100+AC101</f>
        <v>25378395</v>
      </c>
      <c r="AD106" s="401">
        <f t="shared" si="116"/>
        <v>551.42133951433902</v>
      </c>
      <c r="AE106" s="401"/>
      <c r="AF106" s="401">
        <f t="shared" si="116"/>
        <v>34565681</v>
      </c>
      <c r="AG106" s="401">
        <f t="shared" si="116"/>
        <v>27569643</v>
      </c>
      <c r="AH106" s="401">
        <f t="shared" si="116"/>
        <v>33083571.599999994</v>
      </c>
      <c r="AI106" s="401">
        <f t="shared" si="116"/>
        <v>33745243.031999998</v>
      </c>
      <c r="AJ106" s="401">
        <f t="shared" si="116"/>
        <v>34335000</v>
      </c>
      <c r="AK106" s="401">
        <f t="shared" ref="AK106:AU106" si="117">SUM(AK56:AK88)+AK100+AK101</f>
        <v>33001450</v>
      </c>
      <c r="AL106" s="401">
        <f t="shared" si="117"/>
        <v>0</v>
      </c>
      <c r="AM106" s="401">
        <f t="shared" si="117"/>
        <v>31823437</v>
      </c>
      <c r="AN106" s="401">
        <f t="shared" si="117"/>
        <v>26001450</v>
      </c>
      <c r="AO106" s="401">
        <f t="shared" si="117"/>
        <v>6187953</v>
      </c>
      <c r="AP106" s="65">
        <f t="shared" si="117"/>
        <v>26161450</v>
      </c>
      <c r="AQ106" s="65">
        <f t="shared" si="117"/>
        <v>13382419</v>
      </c>
      <c r="AR106" s="65">
        <f t="shared" si="117"/>
        <v>12779031</v>
      </c>
      <c r="AS106" s="65">
        <f t="shared" si="117"/>
        <v>396.26771069313912</v>
      </c>
      <c r="AT106" s="65">
        <f t="shared" si="117"/>
        <v>14754404</v>
      </c>
      <c r="AU106" s="65">
        <f t="shared" si="117"/>
        <v>11407046</v>
      </c>
      <c r="AV106" s="222"/>
      <c r="AW106" s="458">
        <f t="shared" ref="AW106:AX106" si="118">SUM(AW56:AW88)+AW100+AW101</f>
        <v>33001450</v>
      </c>
      <c r="AX106" s="459">
        <f t="shared" si="118"/>
        <v>26801450</v>
      </c>
      <c r="AY106" s="459">
        <f t="shared" ref="AY106:BF106" si="119">SUM(AY56:AY88)+AY100+AY101</f>
        <v>26801450</v>
      </c>
      <c r="AZ106" s="424">
        <f t="shared" si="119"/>
        <v>26039544</v>
      </c>
      <c r="BA106" s="459">
        <f t="shared" si="119"/>
        <v>26039544</v>
      </c>
      <c r="BB106" s="501">
        <f t="shared" si="119"/>
        <v>26039544</v>
      </c>
      <c r="BC106" s="501">
        <f t="shared" si="119"/>
        <v>26211835</v>
      </c>
      <c r="BD106" s="501">
        <f t="shared" si="119"/>
        <v>6696843</v>
      </c>
      <c r="BE106" s="501">
        <f t="shared" si="119"/>
        <v>15282799</v>
      </c>
      <c r="BF106" s="221">
        <f t="shared" si="119"/>
        <v>15997444</v>
      </c>
      <c r="BG106" s="383">
        <f t="shared" ref="BG106:BI106" si="120">SUM(BG56:BG88)+BG100+BG101</f>
        <v>18666932.799999997</v>
      </c>
      <c r="BH106" s="389">
        <f t="shared" si="120"/>
        <v>30555000</v>
      </c>
      <c r="BI106" s="222">
        <f t="shared" si="120"/>
        <v>32098770</v>
      </c>
      <c r="BJ106" s="383">
        <f t="shared" ref="BJ106:BL106" si="121">SUM(BJ56:BJ88)+BJ100+BJ101</f>
        <v>9152157</v>
      </c>
      <c r="BK106" s="65">
        <f t="shared" si="121"/>
        <v>16778484</v>
      </c>
      <c r="BL106" s="65">
        <f t="shared" si="121"/>
        <v>20134180.799999997</v>
      </c>
      <c r="BM106" s="65">
        <f t="shared" ref="BM106:BO106" si="122">SUM(BM56:BM88)+BM100+BM101</f>
        <v>30900000</v>
      </c>
      <c r="BN106" s="65">
        <f t="shared" ref="BN106" si="123">SUM(BN56:BN88)+BN100+BN101</f>
        <v>30900000</v>
      </c>
      <c r="BO106" s="65">
        <f t="shared" si="122"/>
        <v>20175835</v>
      </c>
      <c r="BP106" s="65">
        <f t="shared" ref="BP106:BQ106" si="124">SUM(BP56:BP88)+BP100+BP101</f>
        <v>24211002</v>
      </c>
      <c r="BQ106" s="65">
        <f t="shared" si="124"/>
        <v>26632102.200000007</v>
      </c>
      <c r="BR106" s="65">
        <f t="shared" ref="BR106:BS106" si="125">SUM(BR56:BR88)+BR100+BR101</f>
        <v>40260000</v>
      </c>
      <c r="BS106" s="65">
        <f t="shared" si="125"/>
        <v>40260000</v>
      </c>
      <c r="BT106" s="222">
        <f t="shared" ref="BT106:BV106" si="126">SUM(BT56:BT88)+BT100+BT101</f>
        <v>35755000</v>
      </c>
      <c r="BU106" s="801">
        <f t="shared" si="126"/>
        <v>33906395</v>
      </c>
      <c r="BV106" s="801">
        <f t="shared" si="126"/>
        <v>43626000</v>
      </c>
      <c r="BW106" s="54"/>
      <c r="BX106"/>
      <c r="BY106"/>
      <c r="BZ106"/>
      <c r="CA106" s="748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</row>
    <row r="107" spans="1:101" s="387" customFormat="1" x14ac:dyDescent="0.25">
      <c r="A107" s="373"/>
      <c r="B107" s="448" t="s">
        <v>310</v>
      </c>
      <c r="C107" s="384">
        <f>SUM(C89:C98)</f>
        <v>1733000</v>
      </c>
      <c r="D107" s="384">
        <f t="shared" ref="D107:L107" si="127">SUM(D89:D98)</f>
        <v>2301753</v>
      </c>
      <c r="E107" s="384">
        <f t="shared" si="127"/>
        <v>2113480</v>
      </c>
      <c r="F107" s="384">
        <f t="shared" si="127"/>
        <v>1780252</v>
      </c>
      <c r="G107" s="384">
        <f t="shared" si="127"/>
        <v>2313480</v>
      </c>
      <c r="H107" s="384">
        <f t="shared" si="127"/>
        <v>2154030</v>
      </c>
      <c r="I107" s="384">
        <f t="shared" si="55"/>
        <v>2349850.9090909092</v>
      </c>
      <c r="J107" s="384">
        <f t="shared" ref="J107" si="128">SUM(J89:J98)</f>
        <v>3344800</v>
      </c>
      <c r="K107" s="384">
        <v>3344800</v>
      </c>
      <c r="L107" s="384">
        <f t="shared" si="127"/>
        <v>3344800</v>
      </c>
      <c r="M107" s="384">
        <f t="shared" si="56"/>
        <v>142.34094542168245</v>
      </c>
      <c r="N107" s="384">
        <f t="shared" ref="N107:O107" si="129">SUM(N89:N98)</f>
        <v>3344800</v>
      </c>
      <c r="O107" s="384">
        <f t="shared" si="129"/>
        <v>2311044</v>
      </c>
      <c r="P107" s="384">
        <f t="shared" ref="P107:Q107" si="130">SUM(P89:P98)</f>
        <v>2399944</v>
      </c>
      <c r="Q107" s="384">
        <f t="shared" si="130"/>
        <v>16327000</v>
      </c>
      <c r="R107" s="384">
        <f t="shared" ref="R107:T107" si="131">SUM(R89:R98)</f>
        <v>3544521</v>
      </c>
      <c r="S107" s="384">
        <f t="shared" si="131"/>
        <v>3309944</v>
      </c>
      <c r="T107" s="384">
        <f t="shared" si="131"/>
        <v>16327000</v>
      </c>
      <c r="U107" s="384">
        <f t="shared" ref="U107:V107" si="132">SUM(U89:U98)</f>
        <v>1835000</v>
      </c>
      <c r="V107" s="384">
        <f t="shared" si="132"/>
        <v>1835000</v>
      </c>
      <c r="W107" s="399">
        <f t="shared" si="58"/>
        <v>1.8037841961852861</v>
      </c>
      <c r="Z107" s="401">
        <f t="shared" ref="Z107:AB107" si="133">SUM(Z89:Z98)</f>
        <v>1835000</v>
      </c>
      <c r="AA107" s="401">
        <f t="shared" si="133"/>
        <v>4640018</v>
      </c>
      <c r="AB107" s="401">
        <f t="shared" si="133"/>
        <v>4839673</v>
      </c>
      <c r="AC107" s="401">
        <f t="shared" ref="AC107:AJ107" si="134">SUM(AC89:AC98)</f>
        <v>4883689</v>
      </c>
      <c r="AD107" s="401">
        <f t="shared" si="134"/>
        <v>266.14108991825611</v>
      </c>
      <c r="AE107" s="401"/>
      <c r="AF107" s="401">
        <f t="shared" si="134"/>
        <v>5077120</v>
      </c>
      <c r="AG107" s="401">
        <f t="shared" si="134"/>
        <v>4883689</v>
      </c>
      <c r="AH107" s="401">
        <f t="shared" si="134"/>
        <v>0</v>
      </c>
      <c r="AI107" s="401">
        <f t="shared" si="134"/>
        <v>0</v>
      </c>
      <c r="AJ107" s="401">
        <f t="shared" si="134"/>
        <v>8200000</v>
      </c>
      <c r="AK107" s="401">
        <f t="shared" ref="AK107:AU107" si="135">SUM(AK89:AK98)</f>
        <v>3450000</v>
      </c>
      <c r="AL107" s="401">
        <f t="shared" si="135"/>
        <v>0</v>
      </c>
      <c r="AM107" s="401">
        <f t="shared" si="135"/>
        <v>4948679</v>
      </c>
      <c r="AN107" s="401">
        <f t="shared" si="135"/>
        <v>450000</v>
      </c>
      <c r="AO107" s="401">
        <f t="shared" si="135"/>
        <v>0</v>
      </c>
      <c r="AP107" s="65">
        <f t="shared" si="135"/>
        <v>250000</v>
      </c>
      <c r="AQ107" s="65">
        <f t="shared" si="135"/>
        <v>0</v>
      </c>
      <c r="AR107" s="65">
        <f t="shared" si="135"/>
        <v>250000</v>
      </c>
      <c r="AS107" s="65">
        <f t="shared" si="135"/>
        <v>0</v>
      </c>
      <c r="AT107" s="65">
        <f t="shared" si="135"/>
        <v>0</v>
      </c>
      <c r="AU107" s="65">
        <f t="shared" si="135"/>
        <v>250000</v>
      </c>
      <c r="AV107" s="222"/>
      <c r="AW107" s="458">
        <f t="shared" ref="AW107:AX107" si="136">SUM(AW89:AW98)</f>
        <v>3450000</v>
      </c>
      <c r="AX107" s="459">
        <f t="shared" si="136"/>
        <v>5199999.76</v>
      </c>
      <c r="AY107" s="459">
        <f t="shared" ref="AY107:BF107" si="137">SUM(AY89:AY98)</f>
        <v>3700000</v>
      </c>
      <c r="AZ107" s="424">
        <f t="shared" si="137"/>
        <v>3700000</v>
      </c>
      <c r="BA107" s="459">
        <f t="shared" si="137"/>
        <v>3700000</v>
      </c>
      <c r="BB107" s="501">
        <f t="shared" si="137"/>
        <v>3700000</v>
      </c>
      <c r="BC107" s="501">
        <f t="shared" si="137"/>
        <v>3798157</v>
      </c>
      <c r="BD107" s="501">
        <f t="shared" si="137"/>
        <v>2082365</v>
      </c>
      <c r="BE107" s="501">
        <f t="shared" si="137"/>
        <v>2082365</v>
      </c>
      <c r="BF107" s="221">
        <f t="shared" si="137"/>
        <v>2082365</v>
      </c>
      <c r="BG107" s="383">
        <f t="shared" ref="BG107:BL107" si="138">SUM(BG89:BG98)</f>
        <v>2498838</v>
      </c>
      <c r="BH107" s="389">
        <f t="shared" si="138"/>
        <v>2477000</v>
      </c>
      <c r="BI107" s="222">
        <f t="shared" si="138"/>
        <v>1125821.98</v>
      </c>
      <c r="BJ107" s="389">
        <f t="shared" si="138"/>
        <v>860622</v>
      </c>
      <c r="BK107" s="65">
        <f t="shared" si="138"/>
        <v>860622</v>
      </c>
      <c r="BL107" s="65">
        <f t="shared" si="138"/>
        <v>0</v>
      </c>
      <c r="BM107" s="65">
        <f t="shared" ref="BM107:BO107" si="139">SUM(BM89:BM98)</f>
        <v>1939099.5</v>
      </c>
      <c r="BN107" s="65">
        <f t="shared" ref="BN107" si="140">SUM(BN89:BN98)</f>
        <v>1939099.5</v>
      </c>
      <c r="BO107" s="65">
        <f t="shared" si="139"/>
        <v>0</v>
      </c>
      <c r="BP107" s="65">
        <f t="shared" ref="BP107:BQ107" si="141">SUM(BP89:BP98)</f>
        <v>0</v>
      </c>
      <c r="BQ107" s="65">
        <f t="shared" si="141"/>
        <v>0</v>
      </c>
      <c r="BR107" s="65">
        <f t="shared" ref="BR107:BS107" si="142">SUM(BR89:BR98)</f>
        <v>7270000</v>
      </c>
      <c r="BS107" s="65">
        <f t="shared" si="142"/>
        <v>7270000</v>
      </c>
      <c r="BT107" s="222">
        <f t="shared" ref="BT107:BV107" si="143">SUM(BT89:BT98)</f>
        <v>5800000</v>
      </c>
      <c r="BU107" s="801">
        <f t="shared" si="143"/>
        <v>8374890</v>
      </c>
      <c r="BV107" s="801">
        <f t="shared" si="143"/>
        <v>8483600</v>
      </c>
      <c r="BW107" s="54"/>
      <c r="BX107"/>
      <c r="BY107"/>
      <c r="BZ107"/>
      <c r="CA107" s="748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</row>
    <row r="108" spans="1:101" s="291" customFormat="1" x14ac:dyDescent="0.25">
      <c r="A108" s="373" t="s">
        <v>5</v>
      </c>
      <c r="B108" s="449"/>
      <c r="C108" s="290">
        <f>C103-C104</f>
        <v>-720</v>
      </c>
      <c r="D108" s="290">
        <f t="shared" ref="D108:L108" si="144">D103-D104</f>
        <v>397561.31000000238</v>
      </c>
      <c r="E108" s="290">
        <f t="shared" si="144"/>
        <v>0</v>
      </c>
      <c r="F108" s="290">
        <f t="shared" si="144"/>
        <v>2789220</v>
      </c>
      <c r="G108" s="290">
        <f t="shared" ref="G108:H108" si="145">G103-G104</f>
        <v>0</v>
      </c>
      <c r="H108" s="290">
        <f t="shared" si="145"/>
        <v>1418916</v>
      </c>
      <c r="I108" s="290">
        <f t="shared" si="55"/>
        <v>1547908.3636363635</v>
      </c>
      <c r="J108" s="290">
        <f t="shared" ref="J108" si="146">J103-J104</f>
        <v>0</v>
      </c>
      <c r="K108" s="290">
        <v>0</v>
      </c>
      <c r="L108" s="290" t="e">
        <f t="shared" si="144"/>
        <v>#REF!</v>
      </c>
      <c r="M108" s="290" t="e">
        <f t="shared" si="56"/>
        <v>#REF!</v>
      </c>
      <c r="N108" s="290">
        <f t="shared" ref="N108:O108" si="147">N103-N104</f>
        <v>0</v>
      </c>
      <c r="O108" s="290">
        <f t="shared" si="147"/>
        <v>1708720</v>
      </c>
      <c r="P108" s="290">
        <f t="shared" ref="P108:Q108" si="148">P103-P104</f>
        <v>3260346</v>
      </c>
      <c r="Q108" s="290">
        <f t="shared" si="148"/>
        <v>0</v>
      </c>
      <c r="R108" s="290">
        <f t="shared" ref="R108:T108" si="149">R103-R104</f>
        <v>0</v>
      </c>
      <c r="S108" s="290">
        <f>S103-S104</f>
        <v>1551281</v>
      </c>
      <c r="T108" s="290">
        <f t="shared" si="149"/>
        <v>0</v>
      </c>
      <c r="U108" s="290">
        <f t="shared" ref="U108:V108" si="150">U103-U104</f>
        <v>0</v>
      </c>
      <c r="V108" s="290">
        <f t="shared" si="150"/>
        <v>0</v>
      </c>
      <c r="W108" s="292"/>
      <c r="Z108" s="316">
        <f t="shared" ref="Z108:AJ108" si="151">Z103-Z104</f>
        <v>0</v>
      </c>
      <c r="AA108" s="316">
        <f t="shared" si="151"/>
        <v>1541976</v>
      </c>
      <c r="AB108" s="316">
        <f t="shared" si="151"/>
        <v>1312754</v>
      </c>
      <c r="AC108" s="316">
        <f t="shared" si="151"/>
        <v>9225844</v>
      </c>
      <c r="AD108" s="316">
        <f t="shared" si="151"/>
        <v>-1031.0162066236812</v>
      </c>
      <c r="AE108" s="316"/>
      <c r="AF108" s="316"/>
      <c r="AG108" s="316"/>
      <c r="AH108" s="316"/>
      <c r="AI108" s="316"/>
      <c r="AJ108" s="316">
        <f t="shared" si="151"/>
        <v>0</v>
      </c>
      <c r="AK108" s="316">
        <f t="shared" ref="AK108:AU108" si="152">AK103-AK104</f>
        <v>0</v>
      </c>
      <c r="AL108" s="316">
        <f t="shared" si="152"/>
        <v>0</v>
      </c>
      <c r="AM108" s="316">
        <f t="shared" si="152"/>
        <v>60947</v>
      </c>
      <c r="AN108" s="316">
        <f t="shared" si="152"/>
        <v>-1430729</v>
      </c>
      <c r="AO108" s="316">
        <f t="shared" si="152"/>
        <v>1366767</v>
      </c>
      <c r="AP108" s="65">
        <f t="shared" si="152"/>
        <v>40000</v>
      </c>
      <c r="AQ108" s="65">
        <f t="shared" si="152"/>
        <v>-57441</v>
      </c>
      <c r="AR108" s="65">
        <f t="shared" si="152"/>
        <v>97441</v>
      </c>
      <c r="AS108" s="65">
        <f t="shared" si="152"/>
        <v>-641.95274380524154</v>
      </c>
      <c r="AT108" s="65">
        <f t="shared" si="152"/>
        <v>23940</v>
      </c>
      <c r="AU108" s="65">
        <f t="shared" si="152"/>
        <v>47556</v>
      </c>
      <c r="AV108" s="222"/>
      <c r="AW108" s="458">
        <f t="shared" ref="AW108:AX108" si="153">AW103-AW104</f>
        <v>0</v>
      </c>
      <c r="AX108" s="211">
        <f t="shared" si="153"/>
        <v>0</v>
      </c>
      <c r="AY108" s="211">
        <f t="shared" ref="AY108:BF108" si="154">AY103-AY104</f>
        <v>0</v>
      </c>
      <c r="AZ108" s="65">
        <f t="shared" si="154"/>
        <v>0</v>
      </c>
      <c r="BA108" s="211">
        <f t="shared" si="154"/>
        <v>0</v>
      </c>
      <c r="BB108" s="501">
        <f t="shared" si="154"/>
        <v>0</v>
      </c>
      <c r="BC108" s="510">
        <f t="shared" si="154"/>
        <v>0</v>
      </c>
      <c r="BD108" s="510">
        <f t="shared" si="154"/>
        <v>-67801</v>
      </c>
      <c r="BE108" s="501">
        <f t="shared" si="154"/>
        <v>847100</v>
      </c>
      <c r="BF108" s="221">
        <f t="shared" si="154"/>
        <v>1427549</v>
      </c>
      <c r="BG108" s="383">
        <f t="shared" ref="BG108:BI108" si="155">BG103-BG104</f>
        <v>3769525.4909090921</v>
      </c>
      <c r="BH108" s="389">
        <f t="shared" si="155"/>
        <v>0</v>
      </c>
      <c r="BI108" s="222">
        <f t="shared" si="155"/>
        <v>2.0000003278255463E-2</v>
      </c>
      <c r="BJ108" s="383">
        <f t="shared" ref="BJ108:BO108" si="156">BJ103-BJ104</f>
        <v>2244319</v>
      </c>
      <c r="BK108" s="65">
        <f t="shared" si="156"/>
        <v>2761202</v>
      </c>
      <c r="BL108" s="65">
        <f t="shared" si="156"/>
        <v>0</v>
      </c>
      <c r="BM108" s="65">
        <f t="shared" si="156"/>
        <v>-6.2399998307228088E-2</v>
      </c>
      <c r="BN108" s="65">
        <v>0</v>
      </c>
      <c r="BO108" s="65">
        <f t="shared" si="156"/>
        <v>2519276</v>
      </c>
      <c r="BP108" s="65">
        <f t="shared" ref="BP108:BQ108" si="157">BP103-BP104</f>
        <v>-0.19999999552965164</v>
      </c>
      <c r="BQ108" s="65">
        <f t="shared" si="157"/>
        <v>3.9999999105930328E-2</v>
      </c>
      <c r="BR108" s="65">
        <f t="shared" ref="BR108:BS108" si="158">BR103-BR104</f>
        <v>0</v>
      </c>
      <c r="BS108" s="65">
        <f t="shared" si="158"/>
        <v>0</v>
      </c>
      <c r="BT108" s="222">
        <f t="shared" ref="BT108" si="159">BT103-BT104</f>
        <v>0</v>
      </c>
      <c r="BU108" s="801">
        <f>BU103-BU104</f>
        <v>0</v>
      </c>
      <c r="BV108" s="801">
        <f>BV103-BV104</f>
        <v>0</v>
      </c>
      <c r="BW108" s="54"/>
      <c r="BX108"/>
      <c r="BY108"/>
      <c r="BZ108"/>
      <c r="CA108" s="74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</row>
    <row r="109" spans="1:101" x14ac:dyDescent="0.25">
      <c r="AC109"/>
      <c r="AD109"/>
      <c r="AE109"/>
      <c r="AF109" s="71"/>
      <c r="AG109" s="71"/>
      <c r="AH109"/>
      <c r="AI109"/>
      <c r="AJ109" s="211"/>
      <c r="AP109" s="211"/>
      <c r="AQ109" s="211"/>
      <c r="AR109" s="211"/>
      <c r="AT109" s="14"/>
      <c r="AU109" s="14"/>
      <c r="AV109" s="14"/>
      <c r="AW109"/>
      <c r="AX109" s="444"/>
      <c r="AZ109" s="14"/>
      <c r="BA109" s="444"/>
      <c r="BC109" s="507"/>
      <c r="BD109" s="507"/>
      <c r="BH109" s="14"/>
    </row>
    <row r="110" spans="1:101" x14ac:dyDescent="0.25">
      <c r="AC110"/>
      <c r="AD110"/>
      <c r="AE110"/>
      <c r="AF110" s="71"/>
      <c r="AG110" s="71"/>
      <c r="AH110"/>
      <c r="AI110"/>
      <c r="AJ110" s="211"/>
      <c r="AP110" s="211"/>
      <c r="AQ110" s="211"/>
      <c r="AR110" s="211"/>
      <c r="AT110" s="14"/>
      <c r="AU110" s="14"/>
      <c r="AV110" s="14"/>
      <c r="AW110"/>
      <c r="AX110" s="444"/>
      <c r="AZ110" s="14"/>
      <c r="BA110" s="444"/>
      <c r="BC110" s="507"/>
      <c r="BD110" s="507"/>
      <c r="BH110" s="14"/>
    </row>
    <row r="111" spans="1:101" x14ac:dyDescent="0.25">
      <c r="AC111"/>
      <c r="AD111"/>
      <c r="AE111"/>
      <c r="AF111" s="71"/>
      <c r="AG111" s="71"/>
      <c r="AH111"/>
      <c r="AI111"/>
      <c r="AJ111" s="211"/>
      <c r="AP111" s="211"/>
      <c r="AQ111" s="211"/>
      <c r="AR111" s="211"/>
      <c r="AT111" s="14"/>
      <c r="AU111" s="14"/>
      <c r="AV111" s="14"/>
      <c r="AW111"/>
      <c r="AX111" s="444"/>
      <c r="AZ111" s="14"/>
      <c r="BA111" s="444"/>
      <c r="BC111" s="507"/>
      <c r="BD111" s="507"/>
      <c r="BH111" s="14"/>
    </row>
    <row r="112" spans="1:101" x14ac:dyDescent="0.25">
      <c r="AC112"/>
      <c r="AD112"/>
      <c r="AE112"/>
      <c r="AF112" s="71"/>
      <c r="AG112" s="71"/>
      <c r="AH112"/>
      <c r="AI112"/>
      <c r="AJ112" s="211"/>
      <c r="AP112" s="211"/>
      <c r="AQ112" s="211"/>
      <c r="AR112" s="211"/>
      <c r="AT112" s="14"/>
      <c r="AU112" s="14"/>
      <c r="AV112" s="14"/>
      <c r="AW112"/>
      <c r="AX112" s="444"/>
      <c r="AZ112" s="14"/>
      <c r="BA112" s="444"/>
      <c r="BC112" s="507"/>
      <c r="BD112" s="507"/>
      <c r="BH112" s="14"/>
    </row>
    <row r="113" spans="29:60" x14ac:dyDescent="0.25">
      <c r="AC113"/>
      <c r="AD113"/>
      <c r="AE113"/>
      <c r="AF113" s="71"/>
      <c r="AG113" s="71"/>
      <c r="AH113"/>
      <c r="AI113"/>
      <c r="AJ113" s="211"/>
      <c r="AP113" s="211"/>
      <c r="AQ113" s="211"/>
      <c r="AR113" s="211"/>
      <c r="AT113" s="14"/>
      <c r="AU113" s="14"/>
      <c r="AV113" s="14"/>
      <c r="AW113"/>
      <c r="AX113" s="444"/>
      <c r="AZ113" s="14"/>
      <c r="BA113" s="444"/>
      <c r="BC113" s="507"/>
      <c r="BD113" s="507"/>
      <c r="BH113" s="14"/>
    </row>
    <row r="114" spans="29:60" x14ac:dyDescent="0.25">
      <c r="AC114"/>
      <c r="AD114"/>
      <c r="AE114"/>
      <c r="AF114" s="71"/>
      <c r="AG114" s="71"/>
      <c r="AH114"/>
      <c r="AI114"/>
      <c r="AJ114" s="211"/>
      <c r="AP114" s="211"/>
      <c r="AQ114" s="211"/>
      <c r="AR114" s="211"/>
      <c r="AT114" s="14"/>
      <c r="AU114" s="14"/>
      <c r="AV114" s="14"/>
      <c r="AW114"/>
      <c r="AX114" s="444"/>
      <c r="AZ114" s="14"/>
      <c r="BA114" s="444"/>
      <c r="BC114" s="507"/>
      <c r="BD114" s="507"/>
      <c r="BH114" s="14"/>
    </row>
    <row r="115" spans="29:60" x14ac:dyDescent="0.25">
      <c r="AC115"/>
      <c r="AD115"/>
      <c r="AE115"/>
      <c r="AF115" s="71"/>
      <c r="AG115" s="71"/>
      <c r="AH115"/>
      <c r="AI115"/>
      <c r="AJ115" s="211"/>
      <c r="AP115" s="211"/>
      <c r="AQ115" s="211"/>
      <c r="AR115" s="211"/>
      <c r="AT115" s="14"/>
      <c r="AU115" s="14"/>
      <c r="AV115" s="14"/>
      <c r="AW115"/>
      <c r="AX115" s="444"/>
      <c r="AZ115" s="14"/>
      <c r="BA115" s="444"/>
      <c r="BC115" s="507"/>
      <c r="BD115" s="507"/>
      <c r="BH115" s="14"/>
    </row>
    <row r="116" spans="29:60" x14ac:dyDescent="0.25">
      <c r="AC116"/>
      <c r="AD116"/>
      <c r="AE116"/>
      <c r="AF116" s="71"/>
      <c r="AG116" s="71"/>
      <c r="AH116"/>
      <c r="AI116"/>
      <c r="AJ116" s="211"/>
      <c r="AP116" s="211"/>
      <c r="AQ116" s="211"/>
      <c r="AR116" s="211"/>
      <c r="AT116" s="14"/>
      <c r="AU116" s="14"/>
      <c r="AV116" s="14"/>
      <c r="AW116"/>
      <c r="AX116" s="444"/>
      <c r="AZ116" s="14"/>
      <c r="BA116" s="444"/>
      <c r="BC116" s="507"/>
      <c r="BD116" s="507"/>
      <c r="BH116" s="14"/>
    </row>
    <row r="117" spans="29:60" x14ac:dyDescent="0.25">
      <c r="AC117"/>
      <c r="AD117"/>
      <c r="AE117"/>
      <c r="AF117" s="71"/>
      <c r="AG117" s="71"/>
      <c r="AH117"/>
      <c r="AI117"/>
      <c r="AJ117" s="211"/>
      <c r="AP117" s="211"/>
      <c r="AQ117" s="211"/>
      <c r="AR117" s="211"/>
      <c r="AT117" s="14"/>
      <c r="AU117" s="14"/>
      <c r="AV117" s="14"/>
      <c r="AW117"/>
      <c r="AX117" s="444"/>
      <c r="AZ117" s="14"/>
      <c r="BA117" s="444"/>
      <c r="BC117" s="507"/>
      <c r="BD117" s="507"/>
      <c r="BH117" s="14"/>
    </row>
    <row r="118" spans="29:60" x14ac:dyDescent="0.25">
      <c r="AC118"/>
      <c r="AD118"/>
      <c r="AE118"/>
      <c r="AF118" s="71"/>
      <c r="AG118" s="71"/>
      <c r="AH118"/>
      <c r="AI118"/>
      <c r="AJ118" s="211"/>
      <c r="AP118" s="211"/>
      <c r="AQ118" s="211"/>
      <c r="AR118" s="211"/>
      <c r="AT118" s="14"/>
      <c r="AU118" s="14"/>
      <c r="AV118" s="14"/>
      <c r="AW118"/>
      <c r="AX118" s="444"/>
      <c r="AZ118" s="14"/>
      <c r="BA118" s="444"/>
      <c r="BC118" s="507"/>
      <c r="BD118" s="507"/>
      <c r="BH118" s="14"/>
    </row>
    <row r="119" spans="29:60" x14ac:dyDescent="0.25">
      <c r="AC119"/>
      <c r="AD119"/>
      <c r="AE119"/>
      <c r="AF119" s="71"/>
      <c r="AG119" s="71"/>
      <c r="AH119"/>
      <c r="AI119"/>
      <c r="AJ119" s="211"/>
      <c r="AP119" s="211"/>
      <c r="AQ119" s="211"/>
      <c r="AR119" s="211"/>
      <c r="AT119" s="14"/>
      <c r="AU119" s="14"/>
      <c r="AV119" s="14"/>
      <c r="AW119"/>
      <c r="AX119" s="444"/>
      <c r="AZ119" s="14"/>
      <c r="BA119" s="444"/>
      <c r="BC119" s="507"/>
      <c r="BD119" s="507"/>
      <c r="BH119" s="14"/>
    </row>
    <row r="120" spans="29:60" x14ac:dyDescent="0.25">
      <c r="AC120"/>
      <c r="AD120"/>
      <c r="AE120"/>
      <c r="AF120" s="71"/>
      <c r="AG120" s="71"/>
      <c r="AH120"/>
      <c r="AI120"/>
      <c r="AJ120" s="211"/>
      <c r="AP120" s="211"/>
      <c r="AQ120" s="211"/>
      <c r="AR120" s="211"/>
      <c r="AT120" s="14"/>
      <c r="AU120" s="14"/>
      <c r="AV120" s="14"/>
      <c r="AW120"/>
      <c r="AX120" s="444"/>
      <c r="AZ120" s="14"/>
      <c r="BA120" s="444"/>
      <c r="BC120" s="507"/>
      <c r="BD120" s="507"/>
      <c r="BH120" s="14"/>
    </row>
    <row r="121" spans="29:60" x14ac:dyDescent="0.25">
      <c r="AC121"/>
      <c r="AD121"/>
      <c r="AE121"/>
      <c r="AF121" s="71"/>
      <c r="AG121" s="71"/>
      <c r="AH121"/>
      <c r="AI121"/>
      <c r="AJ121" s="211"/>
      <c r="AP121" s="211"/>
      <c r="AQ121" s="211"/>
      <c r="AR121" s="211"/>
      <c r="AT121" s="14"/>
      <c r="AU121" s="14"/>
      <c r="AV121" s="14"/>
      <c r="AW121"/>
      <c r="AX121" s="444"/>
      <c r="AZ121" s="14"/>
      <c r="BA121" s="444"/>
      <c r="BC121" s="507"/>
      <c r="BD121" s="507"/>
      <c r="BH121" s="14"/>
    </row>
    <row r="122" spans="29:60" x14ac:dyDescent="0.25">
      <c r="AC122"/>
      <c r="AD122"/>
      <c r="AE122"/>
      <c r="AF122" s="71"/>
      <c r="AG122" s="71"/>
      <c r="AH122"/>
      <c r="AI122"/>
      <c r="AJ122" s="211"/>
      <c r="AP122" s="211"/>
      <c r="AQ122" s="211"/>
      <c r="AR122" s="211"/>
      <c r="AT122" s="14"/>
      <c r="AU122" s="14"/>
      <c r="AV122" s="14"/>
      <c r="AW122"/>
      <c r="AX122" s="444"/>
      <c r="AZ122" s="14"/>
      <c r="BA122" s="444"/>
      <c r="BC122" s="507"/>
      <c r="BD122" s="507"/>
      <c r="BH122" s="14"/>
    </row>
    <row r="123" spans="29:60" x14ac:dyDescent="0.25">
      <c r="AC123"/>
      <c r="AD123"/>
      <c r="AE123"/>
      <c r="AF123" s="71"/>
      <c r="AG123" s="71"/>
      <c r="AH123"/>
      <c r="AI123"/>
      <c r="AJ123" s="211"/>
      <c r="AP123" s="211"/>
      <c r="AQ123" s="211"/>
      <c r="AR123" s="211"/>
      <c r="AT123" s="14"/>
      <c r="AU123" s="14"/>
      <c r="AV123" s="14"/>
      <c r="AW123"/>
      <c r="AX123" s="444"/>
      <c r="AZ123" s="14"/>
      <c r="BA123" s="444"/>
      <c r="BC123" s="507"/>
      <c r="BD123" s="507"/>
      <c r="BH123" s="14"/>
    </row>
    <row r="124" spans="29:60" x14ac:dyDescent="0.25">
      <c r="AC124"/>
      <c r="AD124"/>
      <c r="AE124"/>
      <c r="AF124" s="71"/>
      <c r="AG124" s="71"/>
      <c r="AH124"/>
      <c r="AI124"/>
      <c r="AJ124" s="211"/>
      <c r="AP124" s="211"/>
      <c r="AQ124" s="211"/>
      <c r="AR124" s="211"/>
      <c r="AT124" s="14"/>
      <c r="AU124" s="14"/>
      <c r="AV124" s="14"/>
      <c r="AW124"/>
      <c r="AX124" s="444"/>
      <c r="AZ124" s="14"/>
      <c r="BA124" s="444"/>
      <c r="BC124" s="507"/>
      <c r="BD124" s="507"/>
      <c r="BH124" s="14"/>
    </row>
    <row r="125" spans="29:60" x14ac:dyDescent="0.25">
      <c r="AC125"/>
      <c r="AD125"/>
      <c r="AE125"/>
      <c r="AF125" s="71"/>
      <c r="AG125" s="71"/>
      <c r="AH125"/>
      <c r="AI125"/>
      <c r="AJ125" s="211"/>
      <c r="AP125" s="211"/>
      <c r="AQ125" s="211"/>
      <c r="AR125" s="211"/>
      <c r="AT125" s="14"/>
      <c r="AU125" s="14"/>
      <c r="AV125" s="14"/>
      <c r="AW125"/>
      <c r="AX125" s="444"/>
      <c r="AZ125" s="14"/>
      <c r="BA125" s="444"/>
      <c r="BC125" s="507"/>
      <c r="BD125" s="507"/>
      <c r="BH125" s="14"/>
    </row>
    <row r="126" spans="29:60" x14ac:dyDescent="0.25">
      <c r="AC126"/>
      <c r="AD126"/>
      <c r="AE126"/>
      <c r="AF126" s="71"/>
      <c r="AG126" s="71"/>
      <c r="AH126"/>
      <c r="AI126"/>
      <c r="AJ126" s="211"/>
      <c r="AP126" s="211"/>
      <c r="AQ126" s="211"/>
      <c r="AR126" s="211"/>
      <c r="AT126" s="14"/>
      <c r="AU126" s="14"/>
      <c r="AV126" s="14"/>
      <c r="AW126"/>
      <c r="AX126" s="444"/>
      <c r="AZ126" s="14"/>
      <c r="BA126" s="444"/>
      <c r="BC126" s="507"/>
      <c r="BD126" s="507"/>
      <c r="BH126" s="14"/>
    </row>
    <row r="127" spans="29:60" x14ac:dyDescent="0.25">
      <c r="AC127"/>
      <c r="AD127"/>
      <c r="AE127"/>
      <c r="AF127" s="71"/>
      <c r="AG127" s="71"/>
      <c r="AH127"/>
      <c r="AI127"/>
      <c r="AJ127" s="211"/>
      <c r="AP127" s="211"/>
      <c r="AQ127" s="211"/>
      <c r="AR127" s="211"/>
      <c r="AW127"/>
      <c r="BC127" s="507"/>
      <c r="BD127" s="507"/>
    </row>
    <row r="128" spans="29:60" x14ac:dyDescent="0.25">
      <c r="AC128"/>
      <c r="AD128"/>
      <c r="AE128"/>
      <c r="AF128" s="71"/>
      <c r="AG128" s="71"/>
      <c r="AH128"/>
      <c r="AI128"/>
      <c r="AJ128" s="211"/>
      <c r="AP128" s="211"/>
      <c r="AQ128" s="211"/>
      <c r="AR128" s="211"/>
      <c r="AW128"/>
      <c r="BC128" s="507"/>
      <c r="BD128" s="507"/>
    </row>
    <row r="129" spans="29:56" x14ac:dyDescent="0.25">
      <c r="AC129"/>
      <c r="AD129"/>
      <c r="AE129"/>
      <c r="AF129" s="71"/>
      <c r="AG129" s="71"/>
      <c r="AH129"/>
      <c r="AI129"/>
      <c r="AJ129" s="211"/>
      <c r="AP129" s="211"/>
      <c r="AQ129" s="211"/>
      <c r="AR129" s="211"/>
      <c r="AW129"/>
      <c r="BC129" s="507"/>
      <c r="BD129" s="507"/>
    </row>
    <row r="130" spans="29:56" x14ac:dyDescent="0.25">
      <c r="AC130"/>
      <c r="AD130"/>
      <c r="AE130"/>
      <c r="AF130" s="71"/>
      <c r="AG130" s="71"/>
      <c r="AH130"/>
      <c r="AI130"/>
      <c r="AJ130" s="211"/>
      <c r="AP130" s="211"/>
      <c r="AQ130" s="211"/>
      <c r="AR130" s="211"/>
      <c r="AW130"/>
      <c r="BC130" s="507"/>
      <c r="BD130" s="507"/>
    </row>
    <row r="131" spans="29:56" x14ac:dyDescent="0.25">
      <c r="AC131"/>
      <c r="AD131"/>
      <c r="AE131"/>
      <c r="AF131" s="71"/>
      <c r="AG131" s="71"/>
      <c r="AH131"/>
      <c r="AI131"/>
      <c r="AJ131" s="211"/>
      <c r="AP131" s="211"/>
      <c r="AQ131" s="211"/>
      <c r="AR131" s="211"/>
      <c r="AW131"/>
      <c r="BC131" s="507"/>
      <c r="BD131" s="507"/>
    </row>
    <row r="132" spans="29:56" x14ac:dyDescent="0.25">
      <c r="AC132"/>
      <c r="AD132"/>
      <c r="AE132"/>
      <c r="AF132" s="71"/>
      <c r="AG132" s="71"/>
      <c r="AH132"/>
      <c r="AI132"/>
      <c r="AJ132" s="211"/>
      <c r="AP132" s="211"/>
      <c r="AQ132" s="211"/>
      <c r="AR132" s="211"/>
      <c r="AW132"/>
      <c r="BC132" s="507"/>
      <c r="BD132" s="507"/>
    </row>
    <row r="133" spans="29:56" x14ac:dyDescent="0.25">
      <c r="AC133"/>
      <c r="AD133"/>
      <c r="AE133"/>
      <c r="AF133" s="71"/>
      <c r="AG133" s="71"/>
      <c r="AH133"/>
      <c r="AI133"/>
      <c r="AJ133" s="211"/>
      <c r="AP133" s="211"/>
      <c r="AQ133" s="211"/>
      <c r="AR133" s="211"/>
      <c r="AW133"/>
      <c r="BC133" s="507"/>
      <c r="BD133" s="507"/>
    </row>
    <row r="134" spans="29:56" x14ac:dyDescent="0.25">
      <c r="AC134"/>
      <c r="AD134"/>
      <c r="AE134"/>
      <c r="AF134" s="71"/>
      <c r="AG134" s="71"/>
      <c r="AH134"/>
      <c r="AI134"/>
      <c r="AJ134" s="211"/>
      <c r="AP134" s="211"/>
      <c r="AQ134" s="211"/>
      <c r="AR134" s="211"/>
      <c r="AW134"/>
      <c r="BC134" s="507"/>
      <c r="BD134" s="507"/>
    </row>
    <row r="135" spans="29:56" x14ac:dyDescent="0.25">
      <c r="AC135"/>
      <c r="AD135"/>
      <c r="AE135"/>
      <c r="AF135" s="71"/>
      <c r="AG135" s="71"/>
      <c r="AH135"/>
      <c r="AI135"/>
      <c r="AJ135" s="211"/>
      <c r="AP135" s="211"/>
      <c r="AQ135" s="211"/>
      <c r="AR135" s="211"/>
      <c r="AW135"/>
      <c r="BC135" s="507"/>
      <c r="BD135" s="507"/>
    </row>
    <row r="136" spans="29:56" x14ac:dyDescent="0.25">
      <c r="AC136"/>
      <c r="AD136"/>
      <c r="AE136"/>
      <c r="AF136" s="71"/>
      <c r="AG136" s="71"/>
      <c r="AH136"/>
      <c r="AI136"/>
      <c r="AJ136" s="211"/>
      <c r="AP136" s="211"/>
      <c r="AQ136" s="211"/>
      <c r="AR136" s="211"/>
      <c r="AW136"/>
      <c r="BC136" s="507"/>
      <c r="BD136" s="507"/>
    </row>
    <row r="137" spans="29:56" x14ac:dyDescent="0.25">
      <c r="AC137"/>
      <c r="AD137"/>
      <c r="AE137"/>
      <c r="AF137" s="71"/>
      <c r="AG137" s="71"/>
      <c r="AH137"/>
      <c r="AI137"/>
      <c r="AJ137" s="211"/>
      <c r="AP137" s="211"/>
      <c r="AQ137" s="211"/>
      <c r="AR137" s="211"/>
      <c r="AW137"/>
      <c r="BC137" s="507"/>
      <c r="BD137" s="507"/>
    </row>
    <row r="138" spans="29:56" x14ac:dyDescent="0.25">
      <c r="AC138"/>
      <c r="AD138"/>
      <c r="AE138"/>
      <c r="AF138" s="71"/>
      <c r="AG138" s="71"/>
      <c r="AH138"/>
      <c r="AI138"/>
      <c r="AJ138" s="211"/>
      <c r="AP138" s="211"/>
      <c r="AQ138" s="211"/>
      <c r="AR138" s="211"/>
      <c r="AW138"/>
      <c r="BC138" s="507"/>
      <c r="BD138" s="507"/>
    </row>
    <row r="139" spans="29:56" x14ac:dyDescent="0.25">
      <c r="AC139"/>
      <c r="AD139"/>
      <c r="AE139"/>
      <c r="AF139" s="71"/>
      <c r="AG139" s="71"/>
      <c r="AH139"/>
      <c r="AI139"/>
      <c r="AJ139" s="211"/>
      <c r="AP139" s="211"/>
      <c r="AQ139" s="211"/>
      <c r="AR139" s="211"/>
      <c r="AW139"/>
      <c r="BC139" s="507"/>
      <c r="BD139" s="507"/>
    </row>
    <row r="140" spans="29:56" x14ac:dyDescent="0.25">
      <c r="AC140"/>
      <c r="AD140"/>
      <c r="AE140"/>
      <c r="AF140" s="71"/>
      <c r="AG140" s="71"/>
      <c r="AH140"/>
      <c r="AI140"/>
      <c r="AJ140" s="211"/>
      <c r="AP140" s="211"/>
      <c r="AQ140" s="211"/>
      <c r="AR140" s="211"/>
      <c r="AW140"/>
      <c r="BC140" s="507"/>
      <c r="BD140" s="507"/>
    </row>
    <row r="141" spans="29:56" x14ac:dyDescent="0.25">
      <c r="AC141"/>
      <c r="AD141"/>
      <c r="AE141"/>
      <c r="AF141" s="71"/>
      <c r="AG141" s="71"/>
      <c r="AH141"/>
      <c r="AI141"/>
      <c r="AJ141" s="211"/>
      <c r="AP141" s="211"/>
      <c r="AQ141" s="211"/>
      <c r="AR141" s="211"/>
      <c r="AW141"/>
      <c r="BC141" s="507"/>
      <c r="BD141" s="507"/>
    </row>
    <row r="142" spans="29:56" x14ac:dyDescent="0.25">
      <c r="AC142"/>
      <c r="AD142"/>
      <c r="AE142"/>
      <c r="AF142" s="71"/>
      <c r="AG142" s="71"/>
      <c r="AH142"/>
      <c r="AI142"/>
      <c r="AJ142" s="211"/>
      <c r="AP142" s="211"/>
      <c r="AQ142" s="211"/>
      <c r="AR142" s="211"/>
      <c r="AW142"/>
      <c r="BC142" s="507"/>
      <c r="BD142" s="507"/>
    </row>
    <row r="143" spans="29:56" x14ac:dyDescent="0.25">
      <c r="AC143"/>
      <c r="AD143"/>
      <c r="AE143"/>
      <c r="AF143" s="71"/>
      <c r="AG143" s="71"/>
      <c r="AH143"/>
      <c r="AI143"/>
      <c r="AJ143" s="211"/>
      <c r="AP143" s="211"/>
      <c r="AQ143" s="211"/>
      <c r="AR143" s="211"/>
      <c r="AW143"/>
      <c r="BC143" s="507"/>
      <c r="BD143" s="507"/>
    </row>
    <row r="144" spans="29:56" x14ac:dyDescent="0.25">
      <c r="AC144"/>
      <c r="AD144"/>
      <c r="AE144"/>
      <c r="AF144" s="71"/>
      <c r="AG144" s="71"/>
      <c r="AH144"/>
      <c r="AI144"/>
      <c r="AJ144" s="211"/>
      <c r="AP144" s="211"/>
      <c r="AQ144" s="211"/>
      <c r="AR144" s="211"/>
      <c r="AW144"/>
      <c r="BC144" s="507"/>
      <c r="BD144" s="507"/>
    </row>
    <row r="145" spans="2:56" x14ac:dyDescent="0.25">
      <c r="AC145"/>
      <c r="AD145"/>
      <c r="AE145"/>
      <c r="AF145" s="71"/>
      <c r="AG145" s="71"/>
      <c r="AH145"/>
      <c r="AI145"/>
      <c r="AJ145" s="211"/>
      <c r="AP145" s="211"/>
      <c r="AQ145" s="211"/>
      <c r="AR145" s="211"/>
      <c r="AW145"/>
      <c r="BC145" s="507"/>
      <c r="BD145" s="507"/>
    </row>
    <row r="146" spans="2:56" x14ac:dyDescent="0.25">
      <c r="AC146"/>
      <c r="AD146"/>
      <c r="AE146"/>
      <c r="AF146" s="71"/>
      <c r="AG146" s="71"/>
      <c r="AH146"/>
      <c r="AI146"/>
      <c r="AJ146" s="211"/>
      <c r="AP146" s="211"/>
      <c r="AQ146" s="211"/>
      <c r="AR146" s="211"/>
      <c r="AW146"/>
      <c r="BC146" s="507"/>
      <c r="BD146" s="507"/>
    </row>
    <row r="147" spans="2:56" x14ac:dyDescent="0.25">
      <c r="AC147"/>
      <c r="AD147"/>
      <c r="AE147"/>
      <c r="AF147" s="71"/>
      <c r="AG147" s="71"/>
      <c r="AH147"/>
      <c r="AI147"/>
      <c r="AJ147" s="211"/>
      <c r="AP147" s="211"/>
      <c r="AQ147" s="211"/>
      <c r="AR147" s="211"/>
      <c r="AW147"/>
      <c r="BC147" s="507"/>
      <c r="BD147" s="507"/>
    </row>
    <row r="148" spans="2:56" x14ac:dyDescent="0.25">
      <c r="AC148"/>
      <c r="AD148"/>
      <c r="AE148"/>
      <c r="AF148" s="71"/>
      <c r="AG148" s="71"/>
      <c r="AH148"/>
      <c r="AI148"/>
      <c r="AJ148" s="211"/>
      <c r="AP148" s="211"/>
      <c r="AQ148" s="211"/>
      <c r="AR148" s="211"/>
      <c r="AW148"/>
      <c r="BC148" s="507"/>
      <c r="BD148" s="507"/>
    </row>
    <row r="149" spans="2:56" x14ac:dyDescent="0.25">
      <c r="AC149"/>
      <c r="AD149"/>
      <c r="AE149"/>
      <c r="AF149" s="71"/>
      <c r="AG149" s="71"/>
      <c r="AH149"/>
      <c r="AI149"/>
      <c r="AJ149" s="211"/>
      <c r="AP149" s="211"/>
      <c r="AQ149" s="211"/>
      <c r="AR149" s="211"/>
      <c r="AW149"/>
      <c r="BC149" s="507"/>
      <c r="BD149" s="507"/>
    </row>
    <row r="150" spans="2:56" x14ac:dyDescent="0.25">
      <c r="AC150"/>
      <c r="AD150"/>
      <c r="AE150"/>
      <c r="AF150" s="71"/>
      <c r="AG150" s="71"/>
      <c r="AH150"/>
      <c r="AI150"/>
      <c r="AJ150" s="211"/>
      <c r="AP150" s="379"/>
      <c r="AQ150" s="403"/>
      <c r="AR150" s="211"/>
      <c r="AW150"/>
      <c r="BC150" s="507"/>
      <c r="BD150" s="507"/>
    </row>
    <row r="151" spans="2:56" x14ac:dyDescent="0.25">
      <c r="B151" s="450"/>
      <c r="C151" s="71"/>
      <c r="D151" s="71"/>
      <c r="E151" s="71"/>
      <c r="F151" s="211"/>
      <c r="G151" s="211"/>
      <c r="H151" s="211"/>
      <c r="I151" s="211"/>
      <c r="J151" s="71"/>
      <c r="K151" s="71"/>
      <c r="L151" s="211"/>
      <c r="M151" s="71"/>
      <c r="N151" s="71"/>
      <c r="AC151"/>
      <c r="AD151"/>
      <c r="AE151"/>
      <c r="AF151" s="71"/>
      <c r="AG151" s="71"/>
      <c r="AH151"/>
      <c r="AI151"/>
      <c r="AJ151" s="211"/>
      <c r="AR151" s="211"/>
      <c r="AW151"/>
      <c r="BC151" s="507"/>
      <c r="BD151" s="507"/>
    </row>
    <row r="152" spans="2:56" x14ac:dyDescent="0.25">
      <c r="B152" s="450"/>
      <c r="C152" s="71"/>
      <c r="D152" s="71"/>
      <c r="E152" s="71"/>
      <c r="F152" s="211"/>
      <c r="G152" s="211"/>
      <c r="H152" s="211"/>
      <c r="I152" s="211"/>
      <c r="J152" s="71"/>
      <c r="K152" s="71"/>
      <c r="L152" s="211"/>
      <c r="M152" s="71"/>
      <c r="N152" s="71"/>
      <c r="AC152"/>
      <c r="AD152"/>
      <c r="AE152"/>
      <c r="AF152" s="71"/>
      <c r="AG152" s="71"/>
      <c r="AH152"/>
      <c r="AI152"/>
      <c r="AJ152" s="211"/>
      <c r="AR152" s="211"/>
      <c r="AW152"/>
      <c r="BC152" s="507"/>
      <c r="BD152" s="507"/>
    </row>
    <row r="153" spans="2:56" x14ac:dyDescent="0.25">
      <c r="B153" s="450"/>
      <c r="C153" s="71"/>
      <c r="D153" s="71"/>
      <c r="E153" s="71"/>
      <c r="F153" s="211"/>
      <c r="G153" s="211"/>
      <c r="H153" s="211"/>
      <c r="I153" s="211"/>
      <c r="J153" s="71"/>
      <c r="K153" s="71"/>
      <c r="L153" s="211"/>
      <c r="M153" s="71"/>
      <c r="N153" s="71"/>
      <c r="AC153"/>
      <c r="AD153"/>
      <c r="AE153"/>
      <c r="AF153" s="71"/>
      <c r="AG153" s="71"/>
      <c r="AH153"/>
      <c r="AI153"/>
      <c r="AJ153" s="211"/>
      <c r="AR153" s="211"/>
      <c r="AW153"/>
      <c r="BC153" s="507"/>
      <c r="BD153" s="507"/>
    </row>
    <row r="154" spans="2:56" x14ac:dyDescent="0.25">
      <c r="B154" s="450"/>
      <c r="C154" s="71"/>
      <c r="D154" s="71"/>
      <c r="E154" s="71"/>
      <c r="F154" s="211"/>
      <c r="G154" s="211"/>
      <c r="H154" s="211"/>
      <c r="I154" s="211"/>
      <c r="J154" s="71"/>
      <c r="K154" s="71"/>
      <c r="L154" s="211"/>
      <c r="M154" s="71"/>
      <c r="N154" s="71"/>
      <c r="AC154"/>
      <c r="AD154"/>
      <c r="AE154"/>
      <c r="AF154" s="71"/>
      <c r="AG154" s="71"/>
      <c r="AH154"/>
      <c r="AI154"/>
      <c r="AJ154" s="211"/>
      <c r="AR154" s="211"/>
      <c r="AW154"/>
      <c r="BC154" s="507"/>
      <c r="BD154" s="507"/>
    </row>
    <row r="155" spans="2:56" x14ac:dyDescent="0.25">
      <c r="B155" s="450"/>
      <c r="C155" s="71"/>
      <c r="D155" s="71"/>
      <c r="E155" s="71"/>
      <c r="F155" s="211"/>
      <c r="G155" s="211"/>
      <c r="H155" s="211"/>
      <c r="I155" s="211"/>
      <c r="J155" s="71"/>
      <c r="K155" s="71"/>
      <c r="L155" s="211"/>
      <c r="M155" s="71"/>
      <c r="N155" s="71"/>
      <c r="AC155"/>
      <c r="AD155"/>
      <c r="AE155"/>
      <c r="AF155" s="71"/>
      <c r="AG155" s="71"/>
      <c r="AH155"/>
      <c r="AI155"/>
      <c r="AJ155" s="211"/>
      <c r="AR155" s="211"/>
      <c r="AW155"/>
      <c r="BC155" s="507"/>
      <c r="BD155" s="507"/>
    </row>
    <row r="156" spans="2:56" x14ac:dyDescent="0.25">
      <c r="B156" s="450"/>
      <c r="C156" s="71"/>
      <c r="D156" s="71"/>
      <c r="E156" s="71"/>
      <c r="F156" s="211"/>
      <c r="G156" s="211"/>
      <c r="H156" s="211"/>
      <c r="I156" s="211"/>
      <c r="J156" s="71"/>
      <c r="K156" s="71"/>
      <c r="L156" s="211"/>
      <c r="M156" s="71"/>
      <c r="N156" s="71"/>
      <c r="AC156"/>
      <c r="AD156"/>
      <c r="AE156"/>
      <c r="AF156" s="71"/>
      <c r="AG156" s="71"/>
      <c r="AH156"/>
      <c r="AI156"/>
      <c r="AJ156" s="211"/>
      <c r="AR156" s="211"/>
      <c r="AW156"/>
      <c r="BC156" s="507"/>
      <c r="BD156" s="507"/>
    </row>
    <row r="157" spans="2:56" x14ac:dyDescent="0.25">
      <c r="B157" s="450"/>
      <c r="C157" s="71"/>
      <c r="D157" s="71"/>
      <c r="E157" s="71"/>
      <c r="F157" s="211"/>
      <c r="G157" s="211"/>
      <c r="H157" s="211"/>
      <c r="I157" s="211"/>
      <c r="J157" s="71"/>
      <c r="K157" s="71"/>
      <c r="L157" s="211"/>
      <c r="M157" s="71"/>
      <c r="N157" s="71"/>
      <c r="AC157"/>
      <c r="AD157"/>
      <c r="AE157"/>
      <c r="AF157" s="71"/>
      <c r="AG157" s="71"/>
      <c r="AH157"/>
      <c r="AI157"/>
      <c r="AJ157" s="211"/>
      <c r="AR157" s="211"/>
      <c r="AW157"/>
      <c r="BC157" s="507"/>
      <c r="BD157" s="507"/>
    </row>
    <row r="158" spans="2:56" x14ac:dyDescent="0.25">
      <c r="B158" s="450"/>
      <c r="C158" s="71"/>
      <c r="D158" s="71"/>
      <c r="E158" s="71"/>
      <c r="F158" s="211"/>
      <c r="G158" s="211"/>
      <c r="H158" s="211"/>
      <c r="I158" s="211"/>
      <c r="J158" s="71"/>
      <c r="K158" s="71"/>
      <c r="L158" s="211"/>
      <c r="M158" s="71"/>
      <c r="N158" s="71"/>
      <c r="AC158"/>
      <c r="AD158"/>
      <c r="AE158"/>
      <c r="AF158" s="71"/>
      <c r="AG158" s="71"/>
      <c r="AH158"/>
      <c r="AI158"/>
      <c r="AJ158" s="211"/>
      <c r="AR158" s="211"/>
      <c r="AW158"/>
      <c r="BC158" s="507"/>
      <c r="BD158" s="507"/>
    </row>
    <row r="159" spans="2:56" x14ac:dyDescent="0.25">
      <c r="B159" s="450"/>
      <c r="C159" s="71"/>
      <c r="D159" s="71"/>
      <c r="E159" s="71"/>
      <c r="F159" s="211"/>
      <c r="G159" s="211"/>
      <c r="H159" s="211"/>
      <c r="I159" s="211"/>
      <c r="J159" s="71"/>
      <c r="K159" s="71"/>
      <c r="L159" s="211"/>
      <c r="M159" s="71"/>
      <c r="N159" s="71"/>
      <c r="AC159"/>
      <c r="AD159"/>
      <c r="AE159"/>
      <c r="AF159" s="71"/>
      <c r="AG159" s="71"/>
      <c r="AH159"/>
      <c r="AI159"/>
      <c r="AJ159" s="211"/>
      <c r="AR159" s="211"/>
      <c r="AW159"/>
      <c r="BC159" s="507"/>
      <c r="BD159" s="507"/>
    </row>
    <row r="160" spans="2:56" x14ac:dyDescent="0.25">
      <c r="B160" s="450"/>
      <c r="C160" s="71"/>
      <c r="D160" s="71"/>
      <c r="E160" s="71"/>
      <c r="F160" s="211"/>
      <c r="G160" s="211"/>
      <c r="H160" s="211"/>
      <c r="I160" s="211"/>
      <c r="J160" s="71"/>
      <c r="K160" s="71"/>
      <c r="L160" s="211"/>
      <c r="M160" s="71"/>
      <c r="N160" s="71"/>
      <c r="AC160"/>
      <c r="AD160"/>
      <c r="AE160"/>
      <c r="AF160" s="71"/>
      <c r="AG160" s="71"/>
      <c r="AH160"/>
      <c r="AI160"/>
      <c r="AJ160" s="211"/>
      <c r="AR160" s="211"/>
      <c r="AW160"/>
      <c r="BC160" s="507"/>
      <c r="BD160" s="507"/>
    </row>
    <row r="161" spans="2:56" x14ac:dyDescent="0.25">
      <c r="B161" s="450"/>
      <c r="C161" s="71"/>
      <c r="D161" s="71"/>
      <c r="E161" s="71"/>
      <c r="F161" s="211"/>
      <c r="G161" s="211"/>
      <c r="H161" s="211"/>
      <c r="I161" s="211"/>
      <c r="J161" s="71"/>
      <c r="K161" s="71"/>
      <c r="L161" s="211"/>
      <c r="M161" s="71"/>
      <c r="N161" s="71"/>
      <c r="AC161"/>
      <c r="AD161"/>
      <c r="AE161"/>
      <c r="AF161" s="71"/>
      <c r="AG161" s="71"/>
      <c r="AH161"/>
      <c r="AI161"/>
      <c r="AJ161" s="211"/>
      <c r="AR161" s="211"/>
      <c r="AW161"/>
      <c r="BC161" s="507"/>
      <c r="BD161" s="507"/>
    </row>
    <row r="162" spans="2:56" x14ac:dyDescent="0.25">
      <c r="B162" s="450"/>
      <c r="C162" s="71"/>
      <c r="D162" s="71"/>
      <c r="E162" s="71"/>
      <c r="F162" s="211"/>
      <c r="G162" s="211"/>
      <c r="H162" s="211"/>
      <c r="I162" s="211"/>
      <c r="J162" s="71"/>
      <c r="K162" s="71"/>
      <c r="L162" s="211"/>
      <c r="M162" s="71"/>
      <c r="N162" s="71"/>
      <c r="AC162"/>
      <c r="AD162"/>
      <c r="AE162"/>
      <c r="AF162" s="71"/>
      <c r="AG162" s="71"/>
      <c r="AH162"/>
      <c r="AI162"/>
      <c r="AJ162" s="211"/>
      <c r="AR162" s="211"/>
      <c r="AW162"/>
      <c r="BC162" s="507"/>
      <c r="BD162" s="507"/>
    </row>
    <row r="163" spans="2:56" x14ac:dyDescent="0.25">
      <c r="B163" s="450"/>
      <c r="C163" s="71"/>
      <c r="D163" s="71"/>
      <c r="E163" s="71"/>
      <c r="F163" s="211"/>
      <c r="G163" s="211"/>
      <c r="H163" s="211"/>
      <c r="I163" s="211"/>
      <c r="J163" s="71"/>
      <c r="K163" s="71"/>
      <c r="L163" s="211"/>
      <c r="M163" s="71"/>
      <c r="N163" s="71"/>
      <c r="AC163"/>
      <c r="AD163"/>
      <c r="AE163"/>
      <c r="AF163" s="71"/>
      <c r="AG163" s="71"/>
      <c r="AH163"/>
      <c r="AI163"/>
      <c r="AJ163" s="211"/>
      <c r="AR163" s="211"/>
      <c r="AW163"/>
      <c r="BC163" s="507"/>
      <c r="BD163" s="507"/>
    </row>
    <row r="164" spans="2:56" x14ac:dyDescent="0.25">
      <c r="B164" s="450"/>
      <c r="C164" s="71"/>
      <c r="D164" s="71"/>
      <c r="E164" s="71"/>
      <c r="F164" s="211"/>
      <c r="G164" s="211"/>
      <c r="H164" s="211"/>
      <c r="I164" s="211"/>
      <c r="J164" s="71"/>
      <c r="K164" s="71"/>
      <c r="L164" s="211"/>
      <c r="M164" s="71"/>
      <c r="N164" s="71"/>
      <c r="AC164"/>
      <c r="AD164"/>
      <c r="AE164"/>
      <c r="AF164" s="71"/>
      <c r="AG164" s="71"/>
      <c r="AH164"/>
      <c r="AI164"/>
      <c r="AJ164" s="211"/>
      <c r="AR164" s="211"/>
      <c r="AW164"/>
      <c r="BC164" s="507"/>
      <c r="BD164" s="507"/>
    </row>
    <row r="165" spans="2:56" x14ac:dyDescent="0.25">
      <c r="B165" s="450"/>
      <c r="C165" s="71"/>
      <c r="D165" s="71"/>
      <c r="E165" s="71"/>
      <c r="F165" s="211"/>
      <c r="G165" s="211"/>
      <c r="H165" s="211"/>
      <c r="I165" s="211"/>
      <c r="J165" s="71"/>
      <c r="K165" s="71"/>
      <c r="L165" s="211"/>
      <c r="M165" s="71"/>
      <c r="N165" s="71"/>
      <c r="AC165"/>
      <c r="AD165"/>
      <c r="AE165"/>
      <c r="AF165" s="71"/>
      <c r="AG165" s="71"/>
      <c r="AH165"/>
      <c r="AI165"/>
      <c r="AJ165" s="211"/>
      <c r="AR165" s="211"/>
      <c r="AW165"/>
      <c r="BC165" s="507"/>
      <c r="BD165" s="507"/>
    </row>
    <row r="166" spans="2:56" x14ac:dyDescent="0.25">
      <c r="B166" s="450"/>
      <c r="C166" s="71"/>
      <c r="D166" s="71"/>
      <c r="E166" s="71"/>
      <c r="F166" s="211"/>
      <c r="G166" s="211"/>
      <c r="H166" s="211"/>
      <c r="I166" s="211"/>
      <c r="J166" s="71"/>
      <c r="K166" s="71"/>
      <c r="L166" s="211"/>
      <c r="M166" s="71"/>
      <c r="N166" s="71"/>
      <c r="AC166"/>
      <c r="AD166"/>
      <c r="AE166"/>
      <c r="AF166" s="71"/>
      <c r="AG166" s="71"/>
      <c r="AH166"/>
      <c r="AI166"/>
      <c r="AJ166" s="211"/>
      <c r="AR166" s="211"/>
      <c r="AW166"/>
      <c r="BC166" s="507"/>
      <c r="BD166" s="507"/>
    </row>
    <row r="167" spans="2:56" x14ac:dyDescent="0.25">
      <c r="B167" s="450"/>
      <c r="C167" s="71"/>
      <c r="D167" s="71"/>
      <c r="E167" s="71"/>
      <c r="F167" s="211"/>
      <c r="G167" s="211"/>
      <c r="H167" s="211"/>
      <c r="I167" s="211"/>
      <c r="J167" s="71"/>
      <c r="K167" s="71"/>
      <c r="L167" s="211"/>
      <c r="M167" s="71"/>
      <c r="N167" s="71"/>
      <c r="AC167"/>
      <c r="AD167"/>
      <c r="AE167"/>
      <c r="AF167" s="71"/>
      <c r="AG167" s="71"/>
      <c r="AH167"/>
      <c r="AI167"/>
      <c r="AJ167" s="235"/>
      <c r="AR167" s="211"/>
      <c r="AW167"/>
      <c r="BC167" s="507"/>
      <c r="BD167" s="507"/>
    </row>
    <row r="168" spans="2:56" x14ac:dyDescent="0.25">
      <c r="B168" s="450"/>
      <c r="C168" s="71"/>
      <c r="D168" s="71"/>
      <c r="E168" s="71"/>
      <c r="F168" s="211"/>
      <c r="G168" s="211"/>
      <c r="H168" s="211"/>
      <c r="I168" s="211"/>
      <c r="J168" s="71"/>
      <c r="K168" s="71"/>
      <c r="L168" s="211"/>
      <c r="M168" s="71"/>
      <c r="N168" s="71"/>
      <c r="AC168"/>
      <c r="AD168"/>
      <c r="AE168"/>
      <c r="AF168" s="71"/>
      <c r="AG168" s="71"/>
      <c r="AH168"/>
      <c r="AI168"/>
      <c r="AJ168" s="235"/>
      <c r="AR168" s="211"/>
      <c r="AW168"/>
      <c r="BC168" s="507"/>
      <c r="BD168" s="507"/>
    </row>
    <row r="169" spans="2:56" x14ac:dyDescent="0.25">
      <c r="B169" s="450"/>
      <c r="C169" s="71"/>
      <c r="D169" s="71"/>
      <c r="E169" s="71"/>
      <c r="F169" s="211"/>
      <c r="G169" s="211"/>
      <c r="H169" s="211"/>
      <c r="I169" s="211"/>
      <c r="J169" s="71"/>
      <c r="K169" s="71"/>
      <c r="L169" s="211"/>
      <c r="M169" s="71"/>
      <c r="N169" s="71"/>
      <c r="AC169"/>
      <c r="AD169"/>
      <c r="AE169"/>
      <c r="AF169" s="71"/>
      <c r="AG169" s="71"/>
      <c r="AH169"/>
      <c r="AI169"/>
      <c r="AJ169" s="235"/>
      <c r="AR169" s="211"/>
      <c r="AW169"/>
      <c r="BC169" s="507"/>
      <c r="BD169" s="507"/>
    </row>
    <row r="170" spans="2:56" x14ac:dyDescent="0.25">
      <c r="B170" s="450"/>
      <c r="C170" s="71"/>
      <c r="D170" s="71"/>
      <c r="E170" s="71"/>
      <c r="F170" s="211"/>
      <c r="G170" s="211"/>
      <c r="H170" s="211"/>
      <c r="I170" s="211"/>
      <c r="J170" s="71"/>
      <c r="K170" s="71"/>
      <c r="L170" s="211"/>
      <c r="M170" s="71"/>
      <c r="N170" s="71"/>
      <c r="AC170"/>
      <c r="AD170"/>
      <c r="AE170"/>
      <c r="AF170" s="71"/>
      <c r="AG170" s="71"/>
      <c r="AH170"/>
      <c r="AI170"/>
      <c r="AJ170" s="235"/>
      <c r="AR170" s="211"/>
      <c r="AW170"/>
      <c r="BC170" s="507"/>
      <c r="BD170" s="507"/>
    </row>
    <row r="171" spans="2:56" x14ac:dyDescent="0.25">
      <c r="B171" s="450"/>
      <c r="C171" s="71"/>
      <c r="D171" s="71"/>
      <c r="E171" s="71"/>
      <c r="F171" s="211"/>
      <c r="G171" s="211"/>
      <c r="H171" s="211"/>
      <c r="I171" s="211"/>
      <c r="J171" s="71"/>
      <c r="K171" s="71"/>
      <c r="L171" s="211"/>
      <c r="M171" s="71"/>
      <c r="N171" s="71"/>
      <c r="AC171"/>
      <c r="AD171"/>
      <c r="AE171"/>
      <c r="AF171" s="71"/>
      <c r="AG171" s="71"/>
      <c r="AH171"/>
      <c r="AI171"/>
      <c r="AJ171" s="235"/>
      <c r="AR171" s="211"/>
      <c r="AW171"/>
      <c r="BC171" s="507"/>
      <c r="BD171" s="507"/>
    </row>
    <row r="172" spans="2:56" x14ac:dyDescent="0.25">
      <c r="B172" s="450"/>
      <c r="C172" s="71"/>
      <c r="D172" s="71"/>
      <c r="E172" s="71"/>
      <c r="F172" s="211"/>
      <c r="G172" s="211"/>
      <c r="H172" s="211"/>
      <c r="I172" s="211"/>
      <c r="J172" s="71"/>
      <c r="K172" s="71"/>
      <c r="L172" s="211"/>
      <c r="M172" s="71"/>
      <c r="N172" s="71"/>
      <c r="AC172"/>
      <c r="AD172"/>
      <c r="AE172"/>
      <c r="AF172" s="71"/>
      <c r="AG172" s="71"/>
      <c r="AH172"/>
      <c r="AI172"/>
      <c r="AJ172" s="235"/>
      <c r="AR172" s="211"/>
      <c r="AW172"/>
      <c r="BC172" s="507"/>
      <c r="BD172" s="507"/>
    </row>
    <row r="173" spans="2:56" x14ac:dyDescent="0.25">
      <c r="B173" s="450"/>
      <c r="C173" s="71"/>
      <c r="D173" s="71"/>
      <c r="E173" s="71"/>
      <c r="F173" s="211"/>
      <c r="G173" s="211"/>
      <c r="H173" s="211"/>
      <c r="I173" s="211"/>
      <c r="J173" s="71"/>
      <c r="K173" s="71"/>
      <c r="L173" s="211"/>
      <c r="M173" s="71"/>
      <c r="N173" s="71"/>
      <c r="AC173"/>
      <c r="AD173"/>
      <c r="AE173"/>
      <c r="AF173" s="71"/>
      <c r="AG173" s="71"/>
      <c r="AH173"/>
      <c r="AI173"/>
      <c r="AJ173" s="235"/>
      <c r="AR173" s="211"/>
      <c r="AW173"/>
      <c r="BC173" s="507"/>
      <c r="BD173" s="507"/>
    </row>
    <row r="174" spans="2:56" x14ac:dyDescent="0.25">
      <c r="B174" s="450"/>
      <c r="C174" s="71"/>
      <c r="D174" s="71"/>
      <c r="E174" s="71"/>
      <c r="F174" s="211"/>
      <c r="G174" s="211"/>
      <c r="H174" s="211"/>
      <c r="I174" s="211"/>
      <c r="J174" s="71"/>
      <c r="K174" s="71"/>
      <c r="L174" s="211"/>
      <c r="M174" s="71"/>
      <c r="N174" s="71"/>
      <c r="AC174"/>
      <c r="AD174"/>
      <c r="AE174"/>
      <c r="AF174" s="71"/>
      <c r="AG174" s="71"/>
      <c r="AH174"/>
      <c r="AI174"/>
      <c r="AJ174" s="235"/>
      <c r="AR174" s="211"/>
      <c r="AW174"/>
      <c r="BC174" s="507"/>
      <c r="BD174" s="507"/>
    </row>
    <row r="175" spans="2:56" x14ac:dyDescent="0.25">
      <c r="B175" s="450"/>
      <c r="C175" s="71"/>
      <c r="D175" s="71"/>
      <c r="E175" s="71"/>
      <c r="F175" s="211"/>
      <c r="G175" s="211"/>
      <c r="H175" s="211"/>
      <c r="I175" s="211"/>
      <c r="J175" s="71"/>
      <c r="K175" s="71"/>
      <c r="L175" s="211"/>
      <c r="M175" s="71"/>
      <c r="N175" s="71"/>
      <c r="AC175"/>
      <c r="AD175"/>
      <c r="AE175"/>
      <c r="AF175" s="71"/>
      <c r="AG175" s="71"/>
      <c r="AH175"/>
      <c r="AI175"/>
      <c r="AJ175" s="235"/>
      <c r="AR175" s="211"/>
      <c r="AW175"/>
      <c r="BC175" s="507"/>
      <c r="BD175" s="507"/>
    </row>
    <row r="176" spans="2:56" x14ac:dyDescent="0.25">
      <c r="B176" s="450"/>
      <c r="C176" s="71"/>
      <c r="D176" s="71"/>
      <c r="E176" s="71"/>
      <c r="F176" s="211"/>
      <c r="G176" s="211"/>
      <c r="H176" s="211"/>
      <c r="I176" s="211"/>
      <c r="J176" s="71"/>
      <c r="K176" s="71"/>
      <c r="L176" s="211"/>
      <c r="M176" s="71"/>
      <c r="N176" s="71"/>
      <c r="AC176"/>
      <c r="AD176"/>
      <c r="AE176"/>
      <c r="AF176" s="71"/>
      <c r="AG176" s="71"/>
      <c r="AH176"/>
      <c r="AI176"/>
      <c r="AJ176" s="235"/>
      <c r="AR176" s="211"/>
      <c r="AW176"/>
      <c r="BC176" s="507"/>
      <c r="BD176" s="507"/>
    </row>
    <row r="177" spans="2:56" x14ac:dyDescent="0.25">
      <c r="B177" s="450"/>
      <c r="C177" s="71"/>
      <c r="D177" s="71"/>
      <c r="E177" s="71"/>
      <c r="F177" s="211"/>
      <c r="G177" s="211"/>
      <c r="H177" s="211"/>
      <c r="I177" s="211"/>
      <c r="J177" s="71"/>
      <c r="K177" s="71"/>
      <c r="L177" s="211"/>
      <c r="M177" s="71"/>
      <c r="N177" s="71"/>
      <c r="AC177"/>
      <c r="AD177"/>
      <c r="AE177"/>
      <c r="AF177" s="71"/>
      <c r="AG177" s="71"/>
      <c r="AH177"/>
      <c r="AI177"/>
      <c r="AJ177" s="235"/>
      <c r="AR177" s="211"/>
      <c r="AW177"/>
      <c r="BC177" s="507"/>
      <c r="BD177" s="507"/>
    </row>
    <row r="178" spans="2:56" x14ac:dyDescent="0.25">
      <c r="B178" s="450"/>
      <c r="C178" s="71"/>
      <c r="D178" s="71"/>
      <c r="E178" s="71"/>
      <c r="F178" s="211"/>
      <c r="G178" s="211"/>
      <c r="H178" s="211"/>
      <c r="I178" s="211"/>
      <c r="J178" s="71"/>
      <c r="K178" s="71"/>
      <c r="L178" s="211"/>
      <c r="M178" s="71"/>
      <c r="N178" s="71"/>
      <c r="AC178"/>
      <c r="AD178"/>
      <c r="AE178"/>
      <c r="AF178" s="71"/>
      <c r="AG178" s="71"/>
      <c r="AH178"/>
      <c r="AI178"/>
      <c r="AJ178" s="235"/>
      <c r="AR178" s="211"/>
      <c r="AW178"/>
      <c r="BC178" s="507"/>
      <c r="BD178" s="507"/>
    </row>
    <row r="179" spans="2:56" x14ac:dyDescent="0.25">
      <c r="B179" s="450"/>
      <c r="C179" s="71"/>
      <c r="D179" s="71"/>
      <c r="E179" s="71"/>
      <c r="F179" s="211"/>
      <c r="G179" s="211"/>
      <c r="H179" s="211"/>
      <c r="I179" s="211"/>
      <c r="J179" s="71"/>
      <c r="K179" s="71"/>
      <c r="L179" s="211"/>
      <c r="M179" s="71"/>
      <c r="N179" s="71"/>
      <c r="AC179"/>
      <c r="AD179"/>
      <c r="AE179"/>
      <c r="AF179" s="71"/>
      <c r="AG179" s="71"/>
      <c r="AH179"/>
      <c r="AI179"/>
      <c r="AJ179" s="235"/>
      <c r="AR179" s="211"/>
      <c r="AW179"/>
      <c r="BC179" s="507"/>
      <c r="BD179" s="507"/>
    </row>
    <row r="180" spans="2:56" x14ac:dyDescent="0.25">
      <c r="B180" s="450"/>
      <c r="C180" s="71"/>
      <c r="D180" s="71"/>
      <c r="E180" s="71"/>
      <c r="F180" s="211"/>
      <c r="G180" s="211"/>
      <c r="H180" s="211"/>
      <c r="I180" s="211"/>
      <c r="J180" s="71"/>
      <c r="K180" s="71"/>
      <c r="L180" s="211"/>
      <c r="M180" s="71"/>
      <c r="N180" s="71"/>
      <c r="AC180"/>
      <c r="AD180"/>
      <c r="AE180"/>
      <c r="AF180" s="71"/>
      <c r="AG180" s="71"/>
      <c r="AH180"/>
      <c r="AI180"/>
      <c r="AJ180" s="235"/>
      <c r="AR180" s="211"/>
      <c r="AW180"/>
      <c r="BC180" s="502"/>
      <c r="BD180" s="502"/>
    </row>
    <row r="181" spans="2:56" x14ac:dyDescent="0.25">
      <c r="B181" s="450"/>
      <c r="C181" s="71"/>
      <c r="D181" s="71"/>
      <c r="E181" s="71"/>
      <c r="F181" s="211"/>
      <c r="G181" s="211"/>
      <c r="H181" s="211"/>
      <c r="I181" s="211"/>
      <c r="J181" s="71"/>
      <c r="K181" s="71"/>
      <c r="L181" s="211"/>
      <c r="M181" s="71"/>
      <c r="N181" s="71"/>
      <c r="AC181"/>
      <c r="AD181"/>
      <c r="AE181"/>
      <c r="AF181" s="71"/>
      <c r="AG181" s="71"/>
      <c r="AH181"/>
      <c r="AI181"/>
      <c r="AJ181" s="235"/>
      <c r="AR181" s="211"/>
      <c r="AW181"/>
    </row>
    <row r="182" spans="2:56" x14ac:dyDescent="0.25">
      <c r="B182" s="450"/>
      <c r="C182" s="71"/>
      <c r="D182" s="71"/>
      <c r="E182" s="71"/>
      <c r="F182" s="211"/>
      <c r="G182" s="211"/>
      <c r="H182" s="211"/>
      <c r="I182" s="211"/>
      <c r="J182" s="71"/>
      <c r="K182" s="71"/>
      <c r="L182" s="211"/>
      <c r="M182" s="71"/>
      <c r="N182" s="71"/>
      <c r="AC182"/>
      <c r="AD182"/>
      <c r="AE182"/>
      <c r="AF182" s="71"/>
      <c r="AG182" s="71"/>
      <c r="AH182"/>
      <c r="AI182"/>
      <c r="AJ182" s="235"/>
      <c r="AR182" s="211"/>
      <c r="AW182"/>
    </row>
    <row r="183" spans="2:56" x14ac:dyDescent="0.25">
      <c r="B183" s="450"/>
      <c r="C183" s="71"/>
      <c r="D183" s="71"/>
      <c r="E183" s="71"/>
      <c r="F183" s="211"/>
      <c r="G183" s="211"/>
      <c r="H183" s="211"/>
      <c r="I183" s="211"/>
      <c r="J183" s="71"/>
      <c r="K183" s="71"/>
      <c r="L183" s="211"/>
      <c r="M183" s="71"/>
      <c r="N183" s="71"/>
      <c r="AC183"/>
      <c r="AD183"/>
      <c r="AE183"/>
      <c r="AF183" s="71"/>
      <c r="AG183" s="71"/>
      <c r="AH183"/>
      <c r="AI183"/>
      <c r="AJ183" s="235"/>
      <c r="AR183" s="211"/>
      <c r="AW183"/>
    </row>
    <row r="184" spans="2:56" x14ac:dyDescent="0.25">
      <c r="B184" s="450"/>
      <c r="C184" s="71"/>
      <c r="D184" s="71"/>
      <c r="E184" s="71"/>
      <c r="F184" s="211"/>
      <c r="G184" s="211"/>
      <c r="H184" s="211"/>
      <c r="I184" s="211"/>
      <c r="J184" s="71"/>
      <c r="K184" s="71"/>
      <c r="L184" s="211"/>
      <c r="M184" s="71"/>
      <c r="N184" s="71"/>
      <c r="AC184"/>
      <c r="AD184"/>
      <c r="AE184"/>
      <c r="AF184" s="71"/>
      <c r="AG184" s="71"/>
      <c r="AH184"/>
      <c r="AI184"/>
      <c r="AJ184" s="235"/>
      <c r="AR184" s="211"/>
      <c r="AW184"/>
    </row>
    <row r="185" spans="2:56" x14ac:dyDescent="0.25">
      <c r="B185" s="450"/>
      <c r="C185" s="71"/>
      <c r="D185" s="71"/>
      <c r="E185" s="71"/>
      <c r="F185" s="211"/>
      <c r="G185" s="211"/>
      <c r="H185" s="211"/>
      <c r="I185" s="211"/>
      <c r="J185" s="71"/>
      <c r="K185" s="71"/>
      <c r="L185" s="211"/>
      <c r="M185" s="71"/>
      <c r="N185" s="71"/>
      <c r="AC185"/>
      <c r="AD185"/>
      <c r="AE185"/>
      <c r="AF185" s="71"/>
      <c r="AG185" s="71"/>
      <c r="AH185"/>
      <c r="AI185"/>
      <c r="AJ185" s="235"/>
      <c r="AR185" s="211"/>
      <c r="AW185"/>
    </row>
    <row r="186" spans="2:56" x14ac:dyDescent="0.25">
      <c r="B186" s="450"/>
      <c r="C186" s="71"/>
      <c r="D186" s="71"/>
      <c r="E186" s="71"/>
      <c r="F186" s="211"/>
      <c r="G186" s="211"/>
      <c r="H186" s="211"/>
      <c r="I186" s="211"/>
      <c r="J186" s="71"/>
      <c r="K186" s="71"/>
      <c r="L186" s="211"/>
      <c r="M186" s="71"/>
      <c r="N186" s="71"/>
      <c r="AC186"/>
      <c r="AD186"/>
      <c r="AE186"/>
      <c r="AF186" s="71"/>
      <c r="AG186" s="71"/>
      <c r="AH186"/>
      <c r="AI186"/>
      <c r="AJ186" s="235"/>
      <c r="AR186" s="211"/>
      <c r="AW186"/>
    </row>
    <row r="187" spans="2:56" x14ac:dyDescent="0.25">
      <c r="B187" s="450"/>
      <c r="C187" s="71"/>
      <c r="D187" s="71"/>
      <c r="E187" s="71"/>
      <c r="F187" s="211"/>
      <c r="G187" s="211"/>
      <c r="H187" s="211"/>
      <c r="I187" s="211"/>
      <c r="J187" s="71"/>
      <c r="K187" s="71"/>
      <c r="L187" s="211"/>
      <c r="M187" s="71"/>
      <c r="N187" s="71"/>
      <c r="AC187"/>
      <c r="AD187"/>
      <c r="AE187"/>
      <c r="AF187" s="71"/>
      <c r="AG187" s="71"/>
      <c r="AH187"/>
      <c r="AI187"/>
      <c r="AJ187" s="235"/>
      <c r="AR187" s="211"/>
      <c r="AW187"/>
    </row>
    <row r="188" spans="2:56" x14ac:dyDescent="0.25">
      <c r="B188" s="450"/>
      <c r="C188" s="71"/>
      <c r="D188" s="71"/>
      <c r="E188" s="71"/>
      <c r="F188" s="211"/>
      <c r="G188" s="211"/>
      <c r="H188" s="211"/>
      <c r="I188" s="211"/>
      <c r="J188" s="71"/>
      <c r="K188" s="71"/>
      <c r="L188" s="211"/>
      <c r="M188" s="71"/>
      <c r="N188" s="71"/>
      <c r="AC188"/>
      <c r="AD188"/>
      <c r="AE188"/>
      <c r="AF188" s="71"/>
      <c r="AG188" s="71"/>
      <c r="AH188"/>
      <c r="AI188"/>
      <c r="AJ188" s="235"/>
      <c r="AR188" s="211"/>
      <c r="AW188"/>
    </row>
    <row r="189" spans="2:56" x14ac:dyDescent="0.25">
      <c r="B189" s="450"/>
      <c r="C189" s="71"/>
      <c r="D189" s="71"/>
      <c r="E189" s="71"/>
      <c r="F189" s="211"/>
      <c r="G189" s="211"/>
      <c r="H189" s="211"/>
      <c r="I189" s="211"/>
      <c r="J189" s="71"/>
      <c r="K189" s="71"/>
      <c r="L189" s="211"/>
      <c r="M189" s="71"/>
      <c r="N189" s="71"/>
      <c r="AC189"/>
      <c r="AD189"/>
      <c r="AE189"/>
      <c r="AF189" s="71"/>
      <c r="AG189" s="71"/>
      <c r="AH189"/>
      <c r="AI189"/>
      <c r="AJ189" s="235"/>
      <c r="AR189" s="211"/>
      <c r="AW189"/>
    </row>
    <row r="190" spans="2:56" x14ac:dyDescent="0.25">
      <c r="B190" s="450"/>
      <c r="C190" s="71"/>
      <c r="D190" s="71"/>
      <c r="E190" s="71"/>
      <c r="F190" s="211"/>
      <c r="G190" s="211"/>
      <c r="H190" s="211"/>
      <c r="I190" s="211"/>
      <c r="J190" s="71"/>
      <c r="K190" s="71"/>
      <c r="L190" s="211"/>
      <c r="M190" s="71"/>
      <c r="N190" s="71"/>
      <c r="AC190"/>
      <c r="AD190"/>
      <c r="AE190"/>
      <c r="AF190" s="71"/>
      <c r="AG190" s="71"/>
      <c r="AH190"/>
      <c r="AI190"/>
      <c r="AJ190" s="235"/>
      <c r="AR190" s="211"/>
      <c r="AW190"/>
    </row>
    <row r="191" spans="2:56" x14ac:dyDescent="0.25">
      <c r="B191" s="450"/>
      <c r="C191" s="71"/>
      <c r="D191" s="71"/>
      <c r="E191" s="71"/>
      <c r="F191" s="211"/>
      <c r="G191" s="211"/>
      <c r="H191" s="211"/>
      <c r="I191" s="211"/>
      <c r="J191" s="71"/>
      <c r="K191" s="71"/>
      <c r="L191" s="211"/>
      <c r="M191" s="71"/>
      <c r="N191" s="71"/>
      <c r="AC191"/>
      <c r="AD191"/>
      <c r="AE191"/>
      <c r="AF191" s="71"/>
      <c r="AG191" s="71"/>
      <c r="AH191"/>
      <c r="AI191"/>
      <c r="AJ191" s="235"/>
      <c r="AR191" s="211"/>
      <c r="AW191"/>
    </row>
    <row r="192" spans="2:56" x14ac:dyDescent="0.25">
      <c r="B192" s="450"/>
      <c r="C192" s="71"/>
      <c r="D192" s="71"/>
      <c r="E192" s="71"/>
      <c r="F192" s="211"/>
      <c r="G192" s="211"/>
      <c r="H192" s="211"/>
      <c r="I192" s="211"/>
      <c r="J192" s="71"/>
      <c r="K192" s="71"/>
      <c r="L192" s="211"/>
      <c r="M192" s="71"/>
      <c r="N192" s="71"/>
      <c r="AC192"/>
      <c r="AD192"/>
      <c r="AE192"/>
      <c r="AF192" s="71"/>
      <c r="AG192" s="71"/>
      <c r="AH192"/>
      <c r="AI192"/>
      <c r="AJ192" s="235"/>
      <c r="AR192" s="211"/>
      <c r="AW192"/>
    </row>
    <row r="193" spans="2:49" x14ac:dyDescent="0.25">
      <c r="B193" s="450"/>
      <c r="C193" s="71"/>
      <c r="D193" s="71"/>
      <c r="E193" s="71"/>
      <c r="F193" s="211"/>
      <c r="G193" s="211"/>
      <c r="H193" s="211"/>
      <c r="I193" s="211"/>
      <c r="J193" s="71"/>
      <c r="K193" s="71"/>
      <c r="L193" s="211"/>
      <c r="M193" s="71"/>
      <c r="N193" s="71"/>
      <c r="AC193"/>
      <c r="AD193"/>
      <c r="AE193"/>
      <c r="AF193" s="71"/>
      <c r="AG193" s="71"/>
      <c r="AH193"/>
      <c r="AI193"/>
      <c r="AJ193" s="235"/>
      <c r="AR193" s="211"/>
      <c r="AW193"/>
    </row>
    <row r="194" spans="2:49" x14ac:dyDescent="0.25">
      <c r="B194" s="450"/>
      <c r="C194" s="71"/>
      <c r="D194" s="71"/>
      <c r="E194" s="71"/>
      <c r="F194" s="211"/>
      <c r="G194" s="211"/>
      <c r="H194" s="211"/>
      <c r="I194" s="211"/>
      <c r="J194" s="71"/>
      <c r="K194" s="71"/>
      <c r="L194" s="211"/>
      <c r="M194" s="71"/>
      <c r="N194" s="71"/>
      <c r="AC194"/>
      <c r="AD194"/>
      <c r="AE194"/>
      <c r="AF194" s="71"/>
      <c r="AG194" s="71"/>
      <c r="AH194"/>
      <c r="AI194"/>
      <c r="AJ194" s="235"/>
      <c r="AR194" s="211"/>
      <c r="AW194"/>
    </row>
    <row r="195" spans="2:49" x14ac:dyDescent="0.25">
      <c r="B195" s="450"/>
      <c r="C195" s="71"/>
      <c r="D195" s="71"/>
      <c r="E195" s="71"/>
      <c r="F195" s="211"/>
      <c r="G195" s="211"/>
      <c r="H195" s="211"/>
      <c r="I195" s="211"/>
      <c r="J195" s="71"/>
      <c r="K195" s="71"/>
      <c r="L195" s="211"/>
      <c r="M195" s="71"/>
      <c r="N195" s="71"/>
      <c r="AC195"/>
      <c r="AD195"/>
      <c r="AE195"/>
      <c r="AF195" s="71"/>
      <c r="AG195" s="71"/>
      <c r="AH195"/>
      <c r="AI195"/>
      <c r="AJ195" s="235"/>
      <c r="AR195" s="211"/>
      <c r="AW195"/>
    </row>
    <row r="196" spans="2:49" x14ac:dyDescent="0.25">
      <c r="B196" s="450"/>
      <c r="C196" s="71"/>
      <c r="D196" s="71"/>
      <c r="E196" s="71"/>
      <c r="F196" s="211"/>
      <c r="G196" s="211"/>
      <c r="H196" s="211"/>
      <c r="I196" s="211"/>
      <c r="J196" s="71"/>
      <c r="K196" s="71"/>
      <c r="L196" s="211"/>
      <c r="M196" s="71"/>
      <c r="N196" s="71"/>
      <c r="AC196"/>
      <c r="AD196"/>
      <c r="AE196"/>
      <c r="AF196" s="71"/>
      <c r="AG196" s="71"/>
      <c r="AH196"/>
      <c r="AI196"/>
      <c r="AJ196" s="235"/>
      <c r="AR196" s="211"/>
      <c r="AW196"/>
    </row>
    <row r="197" spans="2:49" x14ac:dyDescent="0.25">
      <c r="B197" s="450"/>
      <c r="C197" s="71"/>
      <c r="D197" s="71"/>
      <c r="E197" s="71"/>
      <c r="F197" s="211"/>
      <c r="G197" s="211"/>
      <c r="H197" s="211"/>
      <c r="I197" s="211"/>
      <c r="J197" s="71"/>
      <c r="K197" s="71"/>
      <c r="L197" s="211"/>
      <c r="M197" s="71"/>
      <c r="N197" s="71"/>
      <c r="AC197"/>
      <c r="AD197"/>
      <c r="AE197"/>
      <c r="AF197" s="71"/>
      <c r="AG197" s="71"/>
      <c r="AH197"/>
      <c r="AI197"/>
      <c r="AJ197" s="235"/>
      <c r="AR197" s="211"/>
    </row>
    <row r="198" spans="2:49" x14ac:dyDescent="0.25">
      <c r="B198" s="450"/>
      <c r="C198" s="71"/>
      <c r="D198" s="71"/>
      <c r="E198" s="71"/>
      <c r="F198" s="211"/>
      <c r="G198" s="211"/>
      <c r="H198" s="211"/>
      <c r="I198" s="211"/>
      <c r="J198" s="71"/>
      <c r="K198" s="71"/>
      <c r="L198" s="211"/>
      <c r="M198" s="71"/>
      <c r="N198" s="71"/>
      <c r="AC198"/>
      <c r="AD198"/>
      <c r="AE198"/>
      <c r="AF198" s="71"/>
      <c r="AG198" s="71"/>
      <c r="AH198"/>
      <c r="AI198"/>
      <c r="AJ198" s="235"/>
      <c r="AR198" s="211"/>
    </row>
    <row r="199" spans="2:49" x14ac:dyDescent="0.25">
      <c r="B199" s="450"/>
      <c r="C199" s="71"/>
      <c r="D199" s="71"/>
      <c r="E199" s="71"/>
      <c r="F199" s="211"/>
      <c r="G199" s="211"/>
      <c r="H199" s="211"/>
      <c r="I199" s="211"/>
      <c r="J199" s="71"/>
      <c r="K199" s="71"/>
      <c r="L199" s="211"/>
      <c r="M199" s="71"/>
      <c r="N199" s="71"/>
      <c r="AC199"/>
      <c r="AD199"/>
      <c r="AE199"/>
      <c r="AF199" s="71"/>
      <c r="AG199" s="71"/>
      <c r="AH199"/>
      <c r="AI199"/>
      <c r="AJ199" s="235"/>
      <c r="AR199" s="211"/>
    </row>
    <row r="200" spans="2:49" x14ac:dyDescent="0.25">
      <c r="B200" s="450"/>
      <c r="C200" s="71"/>
      <c r="D200" s="71"/>
      <c r="E200" s="71"/>
      <c r="F200" s="211"/>
      <c r="G200" s="211"/>
      <c r="H200" s="211"/>
      <c r="I200" s="211"/>
      <c r="J200" s="71"/>
      <c r="K200" s="71"/>
      <c r="L200" s="211"/>
      <c r="M200" s="71"/>
      <c r="N200" s="71"/>
      <c r="AC200"/>
      <c r="AD200"/>
      <c r="AE200"/>
      <c r="AF200" s="71"/>
      <c r="AG200" s="71"/>
      <c r="AH200"/>
      <c r="AI200"/>
      <c r="AJ200" s="235"/>
      <c r="AR200" s="211"/>
    </row>
    <row r="201" spans="2:49" x14ac:dyDescent="0.25">
      <c r="B201" s="450"/>
      <c r="C201" s="71"/>
      <c r="D201" s="71"/>
      <c r="E201" s="71"/>
      <c r="F201" s="211"/>
      <c r="G201" s="211"/>
      <c r="H201" s="211"/>
      <c r="I201" s="211"/>
      <c r="J201" s="71"/>
      <c r="K201" s="71"/>
      <c r="L201" s="211"/>
      <c r="M201" s="71"/>
      <c r="N201" s="71"/>
      <c r="AC201"/>
      <c r="AD201"/>
      <c r="AE201"/>
      <c r="AF201" s="71"/>
      <c r="AG201" s="71"/>
      <c r="AH201"/>
      <c r="AI201"/>
      <c r="AJ201" s="235"/>
      <c r="AR201" s="211"/>
    </row>
    <row r="202" spans="2:49" x14ac:dyDescent="0.25">
      <c r="B202" s="450"/>
      <c r="C202" s="71"/>
      <c r="D202" s="71"/>
      <c r="E202" s="71"/>
      <c r="F202" s="211"/>
      <c r="G202" s="211"/>
      <c r="H202" s="211"/>
      <c r="I202" s="211"/>
      <c r="J202" s="71"/>
      <c r="K202" s="71"/>
      <c r="L202" s="211"/>
      <c r="M202" s="71"/>
      <c r="N202" s="71"/>
      <c r="AC202"/>
      <c r="AD202"/>
      <c r="AE202"/>
      <c r="AF202" s="71"/>
      <c r="AG202" s="71"/>
      <c r="AH202"/>
      <c r="AI202"/>
      <c r="AJ202" s="235"/>
      <c r="AR202" s="211"/>
    </row>
    <row r="203" spans="2:49" x14ac:dyDescent="0.25">
      <c r="B203" s="450"/>
      <c r="C203" s="71"/>
      <c r="D203" s="71"/>
      <c r="E203" s="71"/>
      <c r="F203" s="211"/>
      <c r="G203" s="211"/>
      <c r="H203" s="211"/>
      <c r="I203" s="211"/>
      <c r="J203" s="71"/>
      <c r="K203" s="71"/>
      <c r="L203" s="211"/>
      <c r="M203" s="71"/>
      <c r="N203" s="71"/>
      <c r="AC203"/>
      <c r="AD203"/>
      <c r="AE203"/>
      <c r="AF203" s="71"/>
      <c r="AG203" s="71"/>
      <c r="AH203"/>
      <c r="AI203"/>
      <c r="AJ203" s="235"/>
      <c r="AR203" s="211"/>
    </row>
    <row r="204" spans="2:49" x14ac:dyDescent="0.25">
      <c r="B204" s="450"/>
      <c r="C204" s="71"/>
      <c r="D204" s="71"/>
      <c r="E204" s="71"/>
      <c r="F204" s="211"/>
      <c r="G204" s="211"/>
      <c r="H204" s="211"/>
      <c r="I204" s="211"/>
      <c r="J204" s="71"/>
      <c r="K204" s="71"/>
      <c r="L204" s="211"/>
      <c r="M204" s="71"/>
      <c r="N204" s="71"/>
      <c r="AC204"/>
      <c r="AD204"/>
      <c r="AE204"/>
      <c r="AF204" s="71"/>
      <c r="AG204" s="71"/>
      <c r="AH204"/>
      <c r="AI204"/>
      <c r="AJ204" s="235"/>
      <c r="AR204" s="211"/>
    </row>
    <row r="205" spans="2:49" x14ac:dyDescent="0.25">
      <c r="B205" s="450"/>
      <c r="C205" s="71"/>
      <c r="D205" s="71"/>
      <c r="E205" s="71"/>
      <c r="F205" s="211"/>
      <c r="G205" s="211"/>
      <c r="H205" s="211"/>
      <c r="I205" s="211"/>
      <c r="J205" s="71"/>
      <c r="K205" s="71"/>
      <c r="L205" s="211"/>
      <c r="M205" s="71"/>
      <c r="N205" s="71"/>
      <c r="AC205"/>
      <c r="AD205"/>
      <c r="AE205"/>
      <c r="AF205" s="71"/>
      <c r="AG205" s="71"/>
      <c r="AH205"/>
      <c r="AI205"/>
      <c r="AJ205" s="235"/>
      <c r="AR205" s="211"/>
    </row>
    <row r="206" spans="2:49" x14ac:dyDescent="0.25">
      <c r="B206" s="450"/>
      <c r="C206" s="71"/>
      <c r="D206" s="71"/>
      <c r="E206" s="71"/>
      <c r="F206" s="211"/>
      <c r="G206" s="211"/>
      <c r="H206" s="211"/>
      <c r="I206" s="211"/>
      <c r="J206" s="71"/>
      <c r="K206" s="71"/>
      <c r="L206" s="211"/>
      <c r="M206" s="71"/>
      <c r="N206" s="71"/>
      <c r="AC206"/>
      <c r="AD206"/>
      <c r="AE206"/>
      <c r="AF206" s="71"/>
      <c r="AG206" s="71"/>
      <c r="AH206"/>
      <c r="AI206"/>
      <c r="AJ206" s="235"/>
      <c r="AR206" s="211"/>
    </row>
    <row r="207" spans="2:49" x14ac:dyDescent="0.25">
      <c r="B207" s="450"/>
      <c r="C207" s="71"/>
      <c r="D207" s="71"/>
      <c r="E207" s="71"/>
      <c r="F207" s="211"/>
      <c r="G207" s="211"/>
      <c r="H207" s="211"/>
      <c r="I207" s="211"/>
      <c r="J207" s="71"/>
      <c r="K207" s="71"/>
      <c r="L207" s="211"/>
      <c r="M207" s="71"/>
      <c r="N207" s="71"/>
      <c r="AC207"/>
      <c r="AD207"/>
      <c r="AE207"/>
      <c r="AF207" s="71"/>
      <c r="AG207" s="71"/>
      <c r="AH207"/>
      <c r="AI207"/>
      <c r="AJ207" s="235"/>
      <c r="AR207" s="211"/>
    </row>
    <row r="208" spans="2:49" x14ac:dyDescent="0.25">
      <c r="B208" s="450"/>
      <c r="C208" s="71"/>
      <c r="D208" s="71"/>
      <c r="E208" s="71"/>
      <c r="F208" s="211"/>
      <c r="G208" s="211"/>
      <c r="H208" s="211"/>
      <c r="I208" s="211"/>
      <c r="J208" s="71"/>
      <c r="K208" s="71"/>
      <c r="L208" s="211"/>
      <c r="M208" s="71"/>
      <c r="N208" s="71"/>
      <c r="AC208"/>
      <c r="AD208"/>
      <c r="AE208"/>
      <c r="AF208" s="71"/>
      <c r="AG208" s="71"/>
      <c r="AH208"/>
      <c r="AI208"/>
      <c r="AJ208" s="235"/>
      <c r="AR208" s="211"/>
    </row>
    <row r="209" spans="2:44" x14ac:dyDescent="0.25">
      <c r="B209" s="450"/>
      <c r="C209" s="71"/>
      <c r="D209" s="71"/>
      <c r="E209" s="71"/>
      <c r="F209" s="211"/>
      <c r="G209" s="211"/>
      <c r="H209" s="211"/>
      <c r="I209" s="211"/>
      <c r="J209" s="71"/>
      <c r="K209" s="71"/>
      <c r="L209" s="211"/>
      <c r="M209" s="71"/>
      <c r="N209" s="71"/>
      <c r="AC209"/>
      <c r="AD209"/>
      <c r="AE209"/>
      <c r="AF209" s="71"/>
      <c r="AG209" s="71"/>
      <c r="AH209"/>
      <c r="AI209"/>
      <c r="AJ209" s="235"/>
      <c r="AR209" s="211"/>
    </row>
    <row r="210" spans="2:44" x14ac:dyDescent="0.25">
      <c r="B210" s="450"/>
      <c r="C210" s="71"/>
      <c r="D210" s="71"/>
      <c r="E210" s="71"/>
      <c r="F210" s="211"/>
      <c r="G210" s="211"/>
      <c r="H210" s="211"/>
      <c r="I210" s="211"/>
      <c r="J210" s="71"/>
      <c r="K210" s="71"/>
      <c r="L210" s="211"/>
      <c r="M210" s="71"/>
      <c r="N210" s="71"/>
      <c r="AC210"/>
      <c r="AD210"/>
      <c r="AE210"/>
      <c r="AF210" s="71"/>
      <c r="AG210" s="71"/>
      <c r="AH210"/>
      <c r="AI210"/>
      <c r="AJ210" s="235"/>
      <c r="AR210" s="211"/>
    </row>
    <row r="211" spans="2:44" x14ac:dyDescent="0.25">
      <c r="B211" s="450"/>
      <c r="C211" s="71"/>
      <c r="D211" s="71"/>
      <c r="E211" s="71"/>
      <c r="F211" s="211"/>
      <c r="G211" s="211"/>
      <c r="H211" s="211"/>
      <c r="I211" s="211"/>
      <c r="J211" s="71"/>
      <c r="K211" s="71"/>
      <c r="L211" s="211"/>
      <c r="M211" s="71"/>
      <c r="N211" s="71"/>
      <c r="AC211"/>
      <c r="AD211"/>
      <c r="AE211"/>
      <c r="AF211" s="71"/>
      <c r="AG211" s="71"/>
      <c r="AH211"/>
      <c r="AI211"/>
      <c r="AJ211" s="235"/>
      <c r="AR211" s="211"/>
    </row>
    <row r="212" spans="2:44" x14ac:dyDescent="0.25">
      <c r="B212" s="450"/>
      <c r="C212" s="71"/>
      <c r="D212" s="71"/>
      <c r="E212" s="71"/>
      <c r="F212" s="211"/>
      <c r="G212" s="211"/>
      <c r="H212" s="211"/>
      <c r="I212" s="211"/>
      <c r="J212" s="71"/>
      <c r="K212" s="71"/>
      <c r="L212" s="211"/>
      <c r="M212" s="71"/>
      <c r="N212" s="71"/>
      <c r="AC212"/>
      <c r="AD212"/>
      <c r="AE212"/>
      <c r="AF212" s="71"/>
      <c r="AG212" s="71"/>
      <c r="AH212"/>
      <c r="AI212"/>
      <c r="AJ212" s="235"/>
      <c r="AR212" s="211"/>
    </row>
    <row r="213" spans="2:44" x14ac:dyDescent="0.25">
      <c r="B213" s="450"/>
      <c r="C213" s="71"/>
      <c r="D213" s="71"/>
      <c r="E213" s="71"/>
      <c r="F213" s="211"/>
      <c r="G213" s="211"/>
      <c r="H213" s="211"/>
      <c r="I213" s="211"/>
      <c r="J213" s="71"/>
      <c r="K213" s="71"/>
      <c r="L213" s="211"/>
      <c r="M213" s="71"/>
      <c r="N213" s="71"/>
      <c r="AC213"/>
      <c r="AD213"/>
      <c r="AE213"/>
      <c r="AF213" s="71"/>
      <c r="AG213" s="71"/>
      <c r="AH213"/>
      <c r="AI213"/>
      <c r="AJ213" s="235"/>
      <c r="AR213" s="211"/>
    </row>
    <row r="214" spans="2:44" x14ac:dyDescent="0.25">
      <c r="B214" s="450"/>
      <c r="C214" s="71"/>
      <c r="D214" s="71"/>
      <c r="E214" s="71"/>
      <c r="F214" s="211"/>
      <c r="G214" s="211"/>
      <c r="H214" s="211"/>
      <c r="I214" s="211"/>
      <c r="J214" s="71"/>
      <c r="K214" s="71"/>
      <c r="L214" s="211"/>
      <c r="M214" s="71"/>
      <c r="N214" s="71"/>
      <c r="AC214"/>
      <c r="AD214"/>
      <c r="AE214"/>
      <c r="AF214" s="71"/>
      <c r="AG214" s="71"/>
      <c r="AH214"/>
      <c r="AI214"/>
      <c r="AJ214" s="235"/>
      <c r="AR214" s="211"/>
    </row>
    <row r="215" spans="2:44" x14ac:dyDescent="0.25">
      <c r="B215" s="450"/>
      <c r="C215" s="71"/>
      <c r="D215" s="71"/>
      <c r="E215" s="71"/>
      <c r="F215" s="211"/>
      <c r="G215" s="211"/>
      <c r="H215" s="211"/>
      <c r="I215" s="211"/>
      <c r="J215" s="71"/>
      <c r="K215" s="71"/>
      <c r="L215" s="211"/>
      <c r="M215" s="71"/>
      <c r="N215" s="71"/>
      <c r="AC215"/>
      <c r="AD215"/>
      <c r="AE215"/>
      <c r="AF215" s="71"/>
      <c r="AG215" s="71"/>
      <c r="AH215"/>
      <c r="AI215"/>
      <c r="AJ215" s="235"/>
      <c r="AR215" s="211"/>
    </row>
    <row r="216" spans="2:44" x14ac:dyDescent="0.25">
      <c r="B216" s="450"/>
      <c r="C216" s="71"/>
      <c r="D216" s="71"/>
      <c r="E216" s="71"/>
      <c r="F216" s="211"/>
      <c r="G216" s="211"/>
      <c r="H216" s="211"/>
      <c r="I216" s="211"/>
      <c r="J216" s="71"/>
      <c r="K216" s="71"/>
      <c r="L216" s="211"/>
      <c r="M216" s="71"/>
      <c r="N216" s="71"/>
      <c r="AC216"/>
      <c r="AD216"/>
      <c r="AE216"/>
      <c r="AF216" s="71"/>
      <c r="AG216" s="71"/>
      <c r="AH216"/>
      <c r="AI216"/>
      <c r="AJ216" s="235"/>
      <c r="AR216" s="211"/>
    </row>
    <row r="217" spans="2:44" x14ac:dyDescent="0.25">
      <c r="B217" s="450"/>
      <c r="C217" s="71"/>
      <c r="D217" s="71"/>
      <c r="E217" s="71"/>
      <c r="F217" s="211"/>
      <c r="G217" s="211"/>
      <c r="H217" s="211"/>
      <c r="I217" s="211"/>
      <c r="J217" s="71"/>
      <c r="K217" s="71"/>
      <c r="L217" s="211"/>
      <c r="M217" s="71"/>
      <c r="N217" s="71"/>
      <c r="AC217"/>
      <c r="AD217"/>
      <c r="AE217"/>
      <c r="AF217" s="71"/>
      <c r="AG217" s="71"/>
      <c r="AH217"/>
      <c r="AI217"/>
      <c r="AJ217" s="235"/>
      <c r="AR217" s="211"/>
    </row>
    <row r="218" spans="2:44" x14ac:dyDescent="0.25">
      <c r="B218" s="450"/>
      <c r="C218" s="71"/>
      <c r="D218" s="71"/>
      <c r="E218" s="71"/>
      <c r="F218" s="211"/>
      <c r="G218" s="211"/>
      <c r="H218" s="211"/>
      <c r="I218" s="211"/>
      <c r="J218" s="71"/>
      <c r="K218" s="71"/>
      <c r="L218" s="211"/>
      <c r="M218" s="71"/>
      <c r="N218" s="71"/>
      <c r="AC218"/>
      <c r="AD218"/>
      <c r="AE218"/>
      <c r="AF218" s="71"/>
      <c r="AG218" s="71"/>
      <c r="AH218"/>
      <c r="AI218"/>
      <c r="AJ218" s="235"/>
      <c r="AR218" s="211"/>
    </row>
    <row r="219" spans="2:44" x14ac:dyDescent="0.25">
      <c r="B219" s="450"/>
      <c r="C219" s="71"/>
      <c r="D219" s="71"/>
      <c r="E219" s="71"/>
      <c r="F219" s="211"/>
      <c r="G219" s="211"/>
      <c r="H219" s="211"/>
      <c r="I219" s="211"/>
      <c r="J219" s="71"/>
      <c r="K219" s="71"/>
      <c r="L219" s="211"/>
      <c r="M219" s="71"/>
      <c r="N219" s="71"/>
      <c r="AC219"/>
      <c r="AD219"/>
      <c r="AE219"/>
      <c r="AF219" s="71"/>
      <c r="AG219" s="71"/>
      <c r="AH219"/>
      <c r="AI219"/>
      <c r="AJ219" s="235"/>
      <c r="AR219" s="211"/>
    </row>
    <row r="220" spans="2:44" x14ac:dyDescent="0.25">
      <c r="B220" s="450"/>
      <c r="C220" s="71"/>
      <c r="D220" s="71"/>
      <c r="E220" s="71"/>
      <c r="F220" s="211"/>
      <c r="G220" s="211"/>
      <c r="H220" s="211"/>
      <c r="I220" s="211"/>
      <c r="J220" s="71"/>
      <c r="K220" s="71"/>
      <c r="L220" s="211"/>
      <c r="M220" s="71"/>
      <c r="N220" s="71"/>
      <c r="AC220"/>
      <c r="AD220"/>
      <c r="AE220"/>
      <c r="AF220" s="71"/>
      <c r="AG220" s="71"/>
      <c r="AH220"/>
      <c r="AI220"/>
      <c r="AJ220" s="235"/>
      <c r="AR220" s="211"/>
    </row>
    <row r="221" spans="2:44" x14ac:dyDescent="0.25">
      <c r="B221" s="450"/>
      <c r="C221" s="71"/>
      <c r="D221" s="71"/>
      <c r="E221" s="71"/>
      <c r="F221" s="211"/>
      <c r="G221" s="211"/>
      <c r="H221" s="211"/>
      <c r="I221" s="211"/>
      <c r="J221" s="71"/>
      <c r="K221" s="71"/>
      <c r="L221" s="211"/>
      <c r="M221" s="71"/>
      <c r="N221" s="71"/>
      <c r="AC221"/>
      <c r="AD221"/>
      <c r="AE221"/>
      <c r="AF221" s="71"/>
      <c r="AG221" s="71"/>
      <c r="AH221"/>
      <c r="AI221"/>
      <c r="AJ221" s="235"/>
      <c r="AR221" s="211"/>
    </row>
    <row r="222" spans="2:44" x14ac:dyDescent="0.25">
      <c r="B222" s="450"/>
      <c r="C222" s="71"/>
      <c r="D222" s="71"/>
      <c r="E222" s="71"/>
      <c r="F222" s="211"/>
      <c r="G222" s="211"/>
      <c r="H222" s="211"/>
      <c r="I222" s="211"/>
      <c r="J222" s="71"/>
      <c r="K222" s="71"/>
      <c r="L222" s="211"/>
      <c r="M222" s="71"/>
      <c r="N222" s="71"/>
      <c r="AC222"/>
      <c r="AD222"/>
      <c r="AE222"/>
      <c r="AF222" s="71"/>
      <c r="AG222" s="71"/>
      <c r="AH222"/>
      <c r="AI222"/>
      <c r="AJ222" s="235"/>
      <c r="AR222" s="211"/>
    </row>
    <row r="223" spans="2:44" x14ac:dyDescent="0.25">
      <c r="B223" s="450"/>
      <c r="C223" s="71"/>
      <c r="D223" s="71"/>
      <c r="E223" s="71"/>
      <c r="F223" s="211"/>
      <c r="G223" s="211"/>
      <c r="H223" s="211"/>
      <c r="I223" s="211"/>
      <c r="J223" s="71"/>
      <c r="K223" s="71"/>
      <c r="L223" s="211"/>
      <c r="M223" s="71"/>
      <c r="N223" s="71"/>
      <c r="AC223"/>
      <c r="AD223"/>
      <c r="AE223"/>
      <c r="AF223" s="71"/>
      <c r="AG223" s="71"/>
      <c r="AH223"/>
      <c r="AI223"/>
      <c r="AJ223" s="235"/>
      <c r="AR223" s="211"/>
    </row>
    <row r="224" spans="2:44" x14ac:dyDescent="0.25">
      <c r="B224" s="450"/>
      <c r="C224" s="71"/>
      <c r="D224" s="71"/>
      <c r="E224" s="71"/>
      <c r="F224" s="211"/>
      <c r="G224" s="211"/>
      <c r="H224" s="211"/>
      <c r="I224" s="211"/>
      <c r="J224" s="71"/>
      <c r="K224" s="71"/>
      <c r="L224" s="211"/>
      <c r="M224" s="71"/>
      <c r="N224" s="71"/>
      <c r="AC224"/>
      <c r="AD224"/>
      <c r="AE224"/>
      <c r="AF224" s="71"/>
      <c r="AG224" s="71"/>
      <c r="AH224"/>
      <c r="AI224"/>
      <c r="AJ224" s="235"/>
      <c r="AR224" s="211"/>
    </row>
    <row r="225" spans="2:44" x14ac:dyDescent="0.25">
      <c r="B225" s="450"/>
      <c r="C225" s="71"/>
      <c r="D225" s="71"/>
      <c r="E225" s="71"/>
      <c r="F225" s="211"/>
      <c r="G225" s="211"/>
      <c r="H225" s="211"/>
      <c r="I225" s="211"/>
      <c r="J225" s="71"/>
      <c r="K225" s="71"/>
      <c r="L225" s="211"/>
      <c r="M225" s="71"/>
      <c r="N225" s="71"/>
      <c r="AC225"/>
      <c r="AD225"/>
      <c r="AE225"/>
      <c r="AF225" s="71"/>
      <c r="AG225" s="71"/>
      <c r="AH225"/>
      <c r="AI225"/>
      <c r="AJ225" s="235"/>
      <c r="AR225" s="211"/>
    </row>
    <row r="226" spans="2:44" x14ac:dyDescent="0.25">
      <c r="B226" s="450"/>
      <c r="C226" s="71"/>
      <c r="D226" s="71"/>
      <c r="E226" s="71"/>
      <c r="F226" s="211"/>
      <c r="G226" s="211"/>
      <c r="H226" s="211"/>
      <c r="I226" s="211"/>
      <c r="J226" s="71"/>
      <c r="K226" s="71"/>
      <c r="L226" s="211"/>
      <c r="M226" s="71"/>
      <c r="N226" s="71"/>
      <c r="AC226"/>
      <c r="AD226"/>
      <c r="AE226"/>
      <c r="AF226" s="71"/>
      <c r="AG226" s="71"/>
      <c r="AH226"/>
      <c r="AI226"/>
      <c r="AJ226" s="235"/>
      <c r="AR226" s="211"/>
    </row>
    <row r="227" spans="2:44" x14ac:dyDescent="0.25">
      <c r="B227" s="450"/>
      <c r="C227" s="71"/>
      <c r="D227" s="71"/>
      <c r="E227" s="71"/>
      <c r="F227" s="211"/>
      <c r="G227" s="211"/>
      <c r="H227" s="211"/>
      <c r="I227" s="211"/>
      <c r="J227" s="71"/>
      <c r="K227" s="71"/>
      <c r="L227" s="211"/>
      <c r="M227" s="71"/>
      <c r="N227" s="71"/>
      <c r="AC227"/>
      <c r="AD227"/>
      <c r="AE227"/>
      <c r="AF227" s="71"/>
      <c r="AG227" s="71"/>
      <c r="AH227"/>
      <c r="AI227"/>
      <c r="AJ227" s="235"/>
      <c r="AR227" s="211"/>
    </row>
    <row r="228" spans="2:44" x14ac:dyDescent="0.25">
      <c r="B228" s="450"/>
      <c r="C228" s="71"/>
      <c r="D228" s="71"/>
      <c r="E228" s="71"/>
      <c r="F228" s="211"/>
      <c r="G228" s="211"/>
      <c r="H228" s="211"/>
      <c r="I228" s="211"/>
      <c r="J228" s="71"/>
      <c r="K228" s="71"/>
      <c r="L228" s="211"/>
      <c r="M228" s="71"/>
      <c r="N228" s="71"/>
      <c r="AC228"/>
      <c r="AD228"/>
      <c r="AE228"/>
      <c r="AF228" s="71"/>
      <c r="AG228" s="71"/>
      <c r="AH228"/>
      <c r="AI228"/>
      <c r="AJ228" s="235"/>
      <c r="AR228" s="211"/>
    </row>
    <row r="229" spans="2:44" x14ac:dyDescent="0.25">
      <c r="B229" s="450"/>
      <c r="C229" s="71"/>
      <c r="D229" s="71"/>
      <c r="E229" s="71"/>
      <c r="F229" s="211"/>
      <c r="G229" s="211"/>
      <c r="H229" s="211"/>
      <c r="I229" s="211"/>
      <c r="J229" s="71"/>
      <c r="K229" s="71"/>
      <c r="L229" s="211"/>
      <c r="M229" s="71"/>
      <c r="N229" s="71"/>
      <c r="AC229"/>
      <c r="AD229"/>
      <c r="AE229"/>
      <c r="AF229" s="71"/>
      <c r="AG229" s="71"/>
      <c r="AH229"/>
      <c r="AI229"/>
      <c r="AJ229" s="235"/>
      <c r="AR229" s="211"/>
    </row>
    <row r="230" spans="2:44" x14ac:dyDescent="0.25">
      <c r="B230" s="450"/>
      <c r="C230" s="71"/>
      <c r="D230" s="71"/>
      <c r="E230" s="71"/>
      <c r="F230" s="211"/>
      <c r="G230" s="211"/>
      <c r="H230" s="211"/>
      <c r="I230" s="211"/>
      <c r="J230" s="71"/>
      <c r="K230" s="71"/>
      <c r="L230" s="211"/>
      <c r="M230" s="71"/>
      <c r="N230" s="71"/>
      <c r="AC230"/>
      <c r="AD230"/>
      <c r="AE230"/>
      <c r="AF230" s="71"/>
      <c r="AG230" s="71"/>
      <c r="AH230"/>
      <c r="AI230"/>
      <c r="AJ230" s="235"/>
      <c r="AR230" s="211"/>
    </row>
    <row r="231" spans="2:44" x14ac:dyDescent="0.25">
      <c r="B231" s="450"/>
      <c r="C231" s="71"/>
      <c r="D231" s="71"/>
      <c r="E231" s="71"/>
      <c r="F231" s="211"/>
      <c r="G231" s="211"/>
      <c r="H231" s="211"/>
      <c r="I231" s="211"/>
      <c r="J231" s="71"/>
      <c r="K231" s="71"/>
      <c r="L231" s="211"/>
      <c r="M231" s="71"/>
      <c r="N231" s="71"/>
      <c r="AC231"/>
      <c r="AD231"/>
      <c r="AE231"/>
      <c r="AF231" s="71"/>
      <c r="AG231" s="71"/>
      <c r="AH231"/>
      <c r="AI231"/>
      <c r="AJ231" s="235"/>
      <c r="AR231" s="211"/>
    </row>
    <row r="232" spans="2:44" x14ac:dyDescent="0.25">
      <c r="B232" s="450"/>
      <c r="C232" s="71"/>
      <c r="D232" s="71"/>
      <c r="E232" s="71"/>
      <c r="F232" s="211"/>
      <c r="G232" s="211"/>
      <c r="H232" s="211"/>
      <c r="I232" s="211"/>
      <c r="J232" s="71"/>
      <c r="K232" s="71"/>
      <c r="L232" s="211"/>
      <c r="M232" s="71"/>
      <c r="N232" s="71"/>
      <c r="AC232"/>
      <c r="AD232"/>
      <c r="AE232"/>
      <c r="AF232" s="71"/>
      <c r="AG232" s="71"/>
      <c r="AH232"/>
      <c r="AI232"/>
      <c r="AJ232" s="235"/>
      <c r="AR232" s="211"/>
    </row>
    <row r="233" spans="2:44" x14ac:dyDescent="0.25">
      <c r="B233" s="450"/>
      <c r="C233" s="71"/>
      <c r="D233" s="71"/>
      <c r="E233" s="71"/>
      <c r="F233" s="211"/>
      <c r="G233" s="211"/>
      <c r="H233" s="211"/>
      <c r="I233" s="211"/>
      <c r="J233" s="71"/>
      <c r="K233" s="71"/>
      <c r="L233" s="211"/>
      <c r="M233" s="71"/>
      <c r="N233" s="71"/>
      <c r="AC233"/>
      <c r="AD233"/>
      <c r="AE233"/>
      <c r="AF233" s="71"/>
      <c r="AG233" s="71"/>
      <c r="AH233"/>
      <c r="AI233"/>
      <c r="AJ233" s="235"/>
      <c r="AR233" s="211"/>
    </row>
    <row r="234" spans="2:44" x14ac:dyDescent="0.25">
      <c r="B234" s="450"/>
      <c r="C234" s="71"/>
      <c r="D234" s="71"/>
      <c r="E234" s="71"/>
      <c r="F234" s="211"/>
      <c r="G234" s="211"/>
      <c r="H234" s="211"/>
      <c r="I234" s="211"/>
      <c r="J234" s="71"/>
      <c r="K234" s="71"/>
      <c r="L234" s="211"/>
      <c r="M234" s="71"/>
      <c r="N234" s="71"/>
      <c r="AC234"/>
      <c r="AD234"/>
      <c r="AE234"/>
      <c r="AF234" s="71"/>
      <c r="AG234" s="71"/>
      <c r="AH234"/>
      <c r="AI234"/>
      <c r="AJ234" s="235"/>
      <c r="AR234" s="211"/>
    </row>
    <row r="235" spans="2:44" x14ac:dyDescent="0.25">
      <c r="B235" s="450"/>
      <c r="C235" s="71"/>
      <c r="D235" s="71"/>
      <c r="E235" s="71"/>
      <c r="F235" s="211"/>
      <c r="G235" s="211"/>
      <c r="H235" s="211"/>
      <c r="I235" s="211"/>
      <c r="J235" s="71"/>
      <c r="K235" s="71"/>
      <c r="L235" s="211"/>
      <c r="M235" s="71"/>
      <c r="N235" s="71"/>
      <c r="AC235"/>
      <c r="AD235"/>
      <c r="AE235"/>
      <c r="AF235" s="71"/>
      <c r="AG235" s="71"/>
      <c r="AH235"/>
      <c r="AI235"/>
      <c r="AJ235" s="235"/>
      <c r="AR235" s="211"/>
    </row>
    <row r="236" spans="2:44" x14ac:dyDescent="0.25">
      <c r="B236" s="450"/>
      <c r="C236" s="71"/>
      <c r="D236" s="71"/>
      <c r="E236" s="71"/>
      <c r="F236" s="211"/>
      <c r="G236" s="211"/>
      <c r="H236" s="211"/>
      <c r="I236" s="211"/>
      <c r="J236" s="71"/>
      <c r="K236" s="71"/>
      <c r="L236" s="211"/>
      <c r="M236" s="71"/>
      <c r="N236" s="71"/>
      <c r="AC236"/>
      <c r="AD236"/>
      <c r="AE236"/>
      <c r="AF236" s="71"/>
      <c r="AG236" s="71"/>
      <c r="AH236"/>
      <c r="AI236"/>
      <c r="AJ236" s="235"/>
      <c r="AR236" s="211"/>
    </row>
    <row r="237" spans="2:44" x14ac:dyDescent="0.25">
      <c r="B237" s="450"/>
      <c r="C237" s="71"/>
      <c r="D237" s="71"/>
      <c r="E237" s="71"/>
      <c r="F237" s="211"/>
      <c r="G237" s="211"/>
      <c r="H237" s="211"/>
      <c r="I237" s="211"/>
      <c r="J237" s="71"/>
      <c r="K237" s="71"/>
      <c r="L237" s="211"/>
      <c r="M237" s="71"/>
      <c r="N237" s="71"/>
      <c r="AC237"/>
      <c r="AD237"/>
      <c r="AE237"/>
      <c r="AF237" s="71"/>
      <c r="AG237" s="71"/>
      <c r="AH237"/>
      <c r="AI237"/>
      <c r="AJ237" s="235"/>
      <c r="AR237" s="211"/>
    </row>
    <row r="238" spans="2:44" x14ac:dyDescent="0.25">
      <c r="B238" s="450"/>
      <c r="C238" s="71"/>
      <c r="D238" s="71"/>
      <c r="E238" s="71"/>
      <c r="F238" s="211"/>
      <c r="G238" s="211"/>
      <c r="H238" s="211"/>
      <c r="I238" s="211"/>
      <c r="J238" s="71"/>
      <c r="K238" s="71"/>
      <c r="L238" s="211"/>
      <c r="M238" s="71"/>
      <c r="N238" s="71"/>
      <c r="AC238"/>
      <c r="AD238"/>
      <c r="AE238"/>
      <c r="AF238" s="71"/>
      <c r="AG238" s="71"/>
      <c r="AH238"/>
      <c r="AI238"/>
      <c r="AJ238" s="235"/>
      <c r="AR238" s="211"/>
    </row>
    <row r="239" spans="2:44" x14ac:dyDescent="0.25">
      <c r="B239" s="450"/>
      <c r="C239" s="71"/>
      <c r="D239" s="71"/>
      <c r="E239" s="71"/>
      <c r="F239" s="211"/>
      <c r="G239" s="211"/>
      <c r="H239" s="211"/>
      <c r="I239" s="211"/>
      <c r="J239" s="71"/>
      <c r="K239" s="71"/>
      <c r="L239" s="211"/>
      <c r="M239" s="71"/>
      <c r="N239" s="71"/>
      <c r="AC239"/>
      <c r="AD239"/>
      <c r="AE239"/>
      <c r="AF239" s="71"/>
      <c r="AG239" s="71"/>
      <c r="AH239"/>
      <c r="AI239"/>
      <c r="AJ239" s="235"/>
      <c r="AR239" s="211"/>
    </row>
    <row r="240" spans="2:44" x14ac:dyDescent="0.25">
      <c r="B240" s="450"/>
      <c r="C240" s="71"/>
      <c r="D240" s="71"/>
      <c r="E240" s="71"/>
      <c r="F240" s="211"/>
      <c r="G240" s="211"/>
      <c r="H240" s="211"/>
      <c r="I240" s="211"/>
      <c r="J240" s="71"/>
      <c r="K240" s="71"/>
      <c r="L240" s="211"/>
      <c r="M240" s="71"/>
      <c r="N240" s="71"/>
      <c r="AC240"/>
      <c r="AD240"/>
      <c r="AE240"/>
      <c r="AF240" s="71"/>
      <c r="AG240" s="71"/>
      <c r="AH240"/>
      <c r="AI240"/>
      <c r="AJ240" s="235"/>
      <c r="AR240" s="211"/>
    </row>
    <row r="241" spans="2:44" x14ac:dyDescent="0.25">
      <c r="B241" s="450"/>
      <c r="C241" s="71"/>
      <c r="D241" s="71"/>
      <c r="E241" s="71"/>
      <c r="F241" s="211"/>
      <c r="G241" s="211"/>
      <c r="H241" s="211"/>
      <c r="I241" s="211"/>
      <c r="J241" s="71"/>
      <c r="K241" s="71"/>
      <c r="L241" s="211"/>
      <c r="M241" s="71"/>
      <c r="N241" s="71"/>
      <c r="AC241"/>
      <c r="AD241"/>
      <c r="AE241"/>
      <c r="AF241" s="71"/>
      <c r="AG241" s="71"/>
      <c r="AH241"/>
      <c r="AI241"/>
      <c r="AJ241" s="235"/>
      <c r="AR241" s="211"/>
    </row>
    <row r="242" spans="2:44" x14ac:dyDescent="0.25">
      <c r="B242" s="450"/>
      <c r="C242" s="71"/>
      <c r="D242" s="71"/>
      <c r="E242" s="71"/>
      <c r="F242" s="211"/>
      <c r="G242" s="211"/>
      <c r="H242" s="211"/>
      <c r="I242" s="211"/>
      <c r="J242" s="71"/>
      <c r="K242" s="71"/>
      <c r="L242" s="211"/>
      <c r="M242" s="71"/>
      <c r="N242" s="71"/>
      <c r="AC242"/>
      <c r="AD242"/>
      <c r="AE242"/>
      <c r="AF242" s="71"/>
      <c r="AG242" s="71"/>
      <c r="AH242"/>
      <c r="AI242"/>
      <c r="AJ242" s="235"/>
      <c r="AR242" s="211"/>
    </row>
    <row r="243" spans="2:44" x14ac:dyDescent="0.25">
      <c r="B243" s="450"/>
      <c r="C243" s="71"/>
      <c r="D243" s="71"/>
      <c r="E243" s="71"/>
      <c r="F243" s="211"/>
      <c r="G243" s="211"/>
      <c r="H243" s="211"/>
      <c r="I243" s="211"/>
      <c r="J243" s="71"/>
      <c r="K243" s="71"/>
      <c r="L243" s="211"/>
      <c r="M243" s="71"/>
      <c r="N243" s="71"/>
      <c r="AC243"/>
      <c r="AD243"/>
      <c r="AE243"/>
      <c r="AF243" s="71"/>
      <c r="AG243" s="71"/>
      <c r="AH243"/>
      <c r="AI243"/>
      <c r="AJ243" s="235"/>
      <c r="AR243" s="211"/>
    </row>
    <row r="244" spans="2:44" x14ac:dyDescent="0.25">
      <c r="B244" s="450"/>
      <c r="C244" s="71"/>
      <c r="D244" s="71"/>
      <c r="E244" s="71"/>
      <c r="F244" s="211"/>
      <c r="G244" s="211"/>
      <c r="H244" s="211"/>
      <c r="I244" s="211"/>
      <c r="J244" s="71"/>
      <c r="K244" s="71"/>
      <c r="L244" s="211"/>
      <c r="M244" s="71"/>
      <c r="N244" s="71"/>
      <c r="AC244"/>
      <c r="AD244"/>
      <c r="AE244"/>
      <c r="AF244" s="71"/>
      <c r="AG244" s="71"/>
      <c r="AH244"/>
      <c r="AI244"/>
      <c r="AJ244" s="235"/>
      <c r="AR244" s="211"/>
    </row>
    <row r="245" spans="2:44" x14ac:dyDescent="0.25">
      <c r="B245" s="450"/>
      <c r="C245" s="71"/>
      <c r="D245" s="71"/>
      <c r="E245" s="71"/>
      <c r="F245" s="211"/>
      <c r="G245" s="211"/>
      <c r="H245" s="211"/>
      <c r="I245" s="211"/>
      <c r="J245" s="71"/>
      <c r="K245" s="71"/>
      <c r="L245" s="211"/>
      <c r="M245" s="71"/>
      <c r="N245" s="71"/>
      <c r="AC245"/>
      <c r="AD245"/>
      <c r="AE245"/>
      <c r="AF245" s="71"/>
      <c r="AG245" s="71"/>
      <c r="AH245"/>
      <c r="AI245"/>
      <c r="AJ245" s="235"/>
      <c r="AR245" s="211"/>
    </row>
    <row r="246" spans="2:44" x14ac:dyDescent="0.25">
      <c r="B246" s="450"/>
      <c r="C246" s="71"/>
      <c r="D246" s="71"/>
      <c r="E246" s="71"/>
      <c r="F246" s="211"/>
      <c r="G246" s="211"/>
      <c r="H246" s="211"/>
      <c r="I246" s="211"/>
      <c r="J246" s="71"/>
      <c r="K246" s="71"/>
      <c r="L246" s="211"/>
      <c r="M246" s="71"/>
      <c r="N246" s="71"/>
      <c r="AC246"/>
      <c r="AD246"/>
      <c r="AE246"/>
      <c r="AF246" s="71"/>
      <c r="AG246" s="71"/>
      <c r="AH246"/>
      <c r="AI246"/>
      <c r="AJ246" s="235"/>
      <c r="AR246" s="211"/>
    </row>
    <row r="247" spans="2:44" x14ac:dyDescent="0.25">
      <c r="B247" s="450"/>
      <c r="C247" s="71"/>
      <c r="D247" s="71"/>
      <c r="E247" s="71"/>
      <c r="F247" s="211"/>
      <c r="G247" s="211"/>
      <c r="H247" s="211"/>
      <c r="I247" s="211"/>
      <c r="J247" s="71"/>
      <c r="K247" s="71"/>
      <c r="L247" s="211"/>
      <c r="M247" s="71"/>
      <c r="N247" s="71"/>
      <c r="AC247"/>
      <c r="AD247"/>
      <c r="AE247"/>
      <c r="AF247" s="71"/>
      <c r="AG247" s="71"/>
      <c r="AH247"/>
      <c r="AI247"/>
      <c r="AJ247" s="235"/>
      <c r="AR247" s="211"/>
    </row>
    <row r="248" spans="2:44" x14ac:dyDescent="0.25">
      <c r="B248" s="450"/>
      <c r="C248" s="71"/>
      <c r="D248" s="71"/>
      <c r="E248" s="71"/>
      <c r="F248" s="211"/>
      <c r="G248" s="211"/>
      <c r="H248" s="211"/>
      <c r="I248" s="211"/>
      <c r="J248" s="71"/>
      <c r="K248" s="71"/>
      <c r="L248" s="211"/>
      <c r="M248" s="71"/>
      <c r="N248" s="71"/>
      <c r="AC248"/>
      <c r="AD248"/>
      <c r="AE248"/>
      <c r="AF248" s="71"/>
      <c r="AG248" s="71"/>
      <c r="AH248"/>
      <c r="AI248"/>
      <c r="AJ248" s="235"/>
      <c r="AR248" s="211"/>
    </row>
    <row r="249" spans="2:44" x14ac:dyDescent="0.25">
      <c r="B249" s="450"/>
      <c r="C249" s="71"/>
      <c r="D249" s="71"/>
      <c r="E249" s="71"/>
      <c r="F249" s="211"/>
      <c r="G249" s="211"/>
      <c r="H249" s="211"/>
      <c r="I249" s="211"/>
      <c r="J249" s="71"/>
      <c r="K249" s="71"/>
      <c r="L249" s="211"/>
      <c r="M249" s="71"/>
      <c r="N249" s="71"/>
      <c r="AC249"/>
      <c r="AD249"/>
      <c r="AE249"/>
      <c r="AF249" s="71"/>
      <c r="AG249" s="71"/>
      <c r="AH249"/>
      <c r="AI249"/>
      <c r="AJ249" s="235"/>
      <c r="AR249" s="211"/>
    </row>
    <row r="250" spans="2:44" x14ac:dyDescent="0.25">
      <c r="B250" s="450"/>
      <c r="C250" s="71"/>
      <c r="D250" s="71"/>
      <c r="E250" s="71"/>
      <c r="F250" s="211"/>
      <c r="G250" s="211"/>
      <c r="H250" s="211"/>
      <c r="I250" s="211"/>
      <c r="J250" s="71"/>
      <c r="K250" s="71"/>
      <c r="L250" s="211"/>
      <c r="M250" s="71"/>
      <c r="N250" s="71"/>
      <c r="AC250"/>
      <c r="AD250"/>
      <c r="AE250"/>
      <c r="AF250" s="71"/>
      <c r="AG250" s="71"/>
      <c r="AH250"/>
      <c r="AI250"/>
      <c r="AJ250" s="235"/>
      <c r="AR250" s="211"/>
    </row>
    <row r="251" spans="2:44" x14ac:dyDescent="0.25">
      <c r="B251" s="450"/>
      <c r="C251" s="71"/>
      <c r="D251" s="71"/>
      <c r="E251" s="71"/>
      <c r="F251" s="211"/>
      <c r="G251" s="211"/>
      <c r="H251" s="211"/>
      <c r="I251" s="211"/>
      <c r="J251" s="71"/>
      <c r="K251" s="71"/>
      <c r="L251" s="211"/>
      <c r="M251" s="71"/>
      <c r="N251" s="71"/>
      <c r="AC251"/>
      <c r="AD251"/>
      <c r="AE251"/>
      <c r="AF251" s="71"/>
      <c r="AG251" s="71"/>
      <c r="AH251"/>
      <c r="AI251"/>
      <c r="AJ251" s="235"/>
      <c r="AR251" s="211"/>
    </row>
    <row r="252" spans="2:44" x14ac:dyDescent="0.25">
      <c r="B252" s="450"/>
      <c r="C252" s="71"/>
      <c r="D252" s="71"/>
      <c r="E252" s="71"/>
      <c r="F252" s="211"/>
      <c r="G252" s="211"/>
      <c r="H252" s="211"/>
      <c r="I252" s="211"/>
      <c r="J252" s="71"/>
      <c r="K252" s="71"/>
      <c r="L252" s="211"/>
      <c r="M252" s="71"/>
      <c r="N252" s="71"/>
      <c r="AC252"/>
      <c r="AD252"/>
      <c r="AE252"/>
      <c r="AF252" s="71"/>
      <c r="AG252" s="71"/>
      <c r="AH252"/>
      <c r="AI252"/>
      <c r="AJ252" s="235"/>
      <c r="AR252" s="211"/>
    </row>
    <row r="253" spans="2:44" x14ac:dyDescent="0.25">
      <c r="B253" s="450"/>
      <c r="C253" s="71"/>
      <c r="D253" s="71"/>
      <c r="E253" s="71"/>
      <c r="F253" s="211"/>
      <c r="G253" s="211"/>
      <c r="H253" s="211"/>
      <c r="I253" s="211"/>
      <c r="J253" s="71"/>
      <c r="K253" s="71"/>
      <c r="L253" s="211"/>
      <c r="M253" s="71"/>
      <c r="N253" s="71"/>
      <c r="AC253"/>
      <c r="AD253"/>
      <c r="AE253"/>
      <c r="AF253" s="71"/>
      <c r="AG253" s="71"/>
      <c r="AH253"/>
      <c r="AI253"/>
      <c r="AJ253" s="235"/>
      <c r="AR253" s="211"/>
    </row>
    <row r="254" spans="2:44" x14ac:dyDescent="0.25">
      <c r="B254" s="450"/>
      <c r="C254" s="71"/>
      <c r="D254" s="71"/>
      <c r="E254" s="71"/>
      <c r="F254" s="211"/>
      <c r="G254" s="211"/>
      <c r="H254" s="211"/>
      <c r="I254" s="211"/>
      <c r="J254" s="71"/>
      <c r="K254" s="71"/>
      <c r="L254" s="211"/>
      <c r="M254" s="71"/>
      <c r="N254" s="71"/>
      <c r="AC254"/>
      <c r="AD254"/>
      <c r="AE254"/>
      <c r="AF254" s="71"/>
      <c r="AG254" s="71"/>
      <c r="AH254"/>
      <c r="AI254"/>
      <c r="AJ254" s="235"/>
      <c r="AR254" s="211"/>
    </row>
    <row r="255" spans="2:44" x14ac:dyDescent="0.25">
      <c r="B255" s="450"/>
      <c r="C255" s="71"/>
      <c r="D255" s="71"/>
      <c r="E255" s="71"/>
      <c r="F255" s="211"/>
      <c r="G255" s="211"/>
      <c r="H255" s="211"/>
      <c r="I255" s="211"/>
      <c r="J255" s="71"/>
      <c r="K255" s="71"/>
      <c r="L255" s="211"/>
      <c r="M255" s="71"/>
      <c r="N255" s="71"/>
      <c r="AC255"/>
      <c r="AD255"/>
      <c r="AE255"/>
      <c r="AF255" s="71"/>
      <c r="AG255" s="71"/>
      <c r="AH255"/>
      <c r="AI255"/>
      <c r="AJ255" s="235"/>
      <c r="AR255" s="211"/>
    </row>
    <row r="256" spans="2:44" x14ac:dyDescent="0.25">
      <c r="B256" s="450"/>
      <c r="C256" s="71"/>
      <c r="D256" s="71"/>
      <c r="E256" s="71"/>
      <c r="F256" s="211"/>
      <c r="G256" s="211"/>
      <c r="H256" s="211"/>
      <c r="I256" s="211"/>
      <c r="J256" s="71"/>
      <c r="K256" s="71"/>
      <c r="L256" s="211"/>
      <c r="M256" s="71"/>
      <c r="N256" s="71"/>
      <c r="AC256"/>
      <c r="AD256"/>
      <c r="AE256"/>
      <c r="AF256" s="71"/>
      <c r="AG256" s="71"/>
      <c r="AH256"/>
      <c r="AI256"/>
      <c r="AJ256" s="235"/>
      <c r="AR256" s="211"/>
    </row>
    <row r="257" spans="2:44" x14ac:dyDescent="0.25">
      <c r="B257" s="450"/>
      <c r="C257" s="71"/>
      <c r="D257" s="71"/>
      <c r="E257" s="71"/>
      <c r="F257" s="211"/>
      <c r="G257" s="211"/>
      <c r="H257" s="211"/>
      <c r="I257" s="211"/>
      <c r="J257" s="71"/>
      <c r="K257" s="71"/>
      <c r="L257" s="211"/>
      <c r="M257" s="71"/>
      <c r="N257" s="71"/>
      <c r="AC257"/>
      <c r="AD257"/>
      <c r="AE257"/>
      <c r="AF257" s="71"/>
      <c r="AG257" s="71"/>
      <c r="AH257"/>
      <c r="AI257"/>
      <c r="AJ257" s="235"/>
      <c r="AR257" s="211"/>
    </row>
    <row r="258" spans="2:44" x14ac:dyDescent="0.25">
      <c r="B258" s="450"/>
      <c r="C258" s="71"/>
      <c r="D258" s="71"/>
      <c r="E258" s="71"/>
      <c r="F258" s="211"/>
      <c r="G258" s="211"/>
      <c r="H258" s="211"/>
      <c r="I258" s="211"/>
      <c r="J258" s="71"/>
      <c r="K258" s="71"/>
      <c r="L258" s="211"/>
      <c r="M258" s="71"/>
      <c r="N258" s="71"/>
      <c r="AC258"/>
      <c r="AD258"/>
      <c r="AE258"/>
      <c r="AF258" s="71"/>
      <c r="AG258" s="71"/>
      <c r="AH258"/>
      <c r="AI258"/>
      <c r="AJ258" s="235"/>
      <c r="AR258" s="211"/>
    </row>
    <row r="259" spans="2:44" x14ac:dyDescent="0.25">
      <c r="B259" s="450"/>
      <c r="C259" s="71"/>
      <c r="D259" s="71"/>
      <c r="E259" s="71"/>
      <c r="F259" s="211"/>
      <c r="G259" s="211"/>
      <c r="H259" s="211"/>
      <c r="I259" s="211"/>
      <c r="J259" s="71"/>
      <c r="K259" s="71"/>
      <c r="L259" s="211"/>
      <c r="M259" s="71"/>
      <c r="N259" s="71"/>
      <c r="AC259"/>
      <c r="AD259"/>
      <c r="AE259"/>
      <c r="AF259" s="71"/>
      <c r="AG259" s="71"/>
      <c r="AH259"/>
      <c r="AI259"/>
      <c r="AJ259" s="235"/>
      <c r="AR259" s="211"/>
    </row>
    <row r="260" spans="2:44" x14ac:dyDescent="0.25">
      <c r="B260" s="450"/>
      <c r="C260" s="71"/>
      <c r="D260" s="71"/>
      <c r="E260" s="71"/>
      <c r="F260" s="211"/>
      <c r="G260" s="211"/>
      <c r="H260" s="211"/>
      <c r="I260" s="211"/>
      <c r="J260" s="71"/>
      <c r="K260" s="71"/>
      <c r="L260" s="211"/>
      <c r="M260" s="71"/>
      <c r="N260" s="71"/>
      <c r="AC260"/>
      <c r="AD260"/>
      <c r="AE260"/>
      <c r="AF260" s="71"/>
      <c r="AG260" s="71"/>
      <c r="AH260"/>
      <c r="AI260"/>
      <c r="AJ260" s="235"/>
      <c r="AR260" s="211"/>
    </row>
    <row r="261" spans="2:44" x14ac:dyDescent="0.25">
      <c r="B261" s="450"/>
      <c r="C261" s="71"/>
      <c r="D261" s="71"/>
      <c r="E261" s="71"/>
      <c r="F261" s="211"/>
      <c r="G261" s="211"/>
      <c r="H261" s="211"/>
      <c r="I261" s="211"/>
      <c r="J261" s="71"/>
      <c r="K261" s="71"/>
      <c r="L261" s="211"/>
      <c r="M261" s="71"/>
      <c r="N261" s="71"/>
      <c r="AC261"/>
      <c r="AD261"/>
      <c r="AE261"/>
      <c r="AF261" s="71"/>
      <c r="AG261" s="71"/>
      <c r="AH261"/>
      <c r="AI261"/>
      <c r="AJ261" s="235"/>
      <c r="AR261" s="211"/>
    </row>
    <row r="262" spans="2:44" x14ac:dyDescent="0.25">
      <c r="B262" s="450"/>
      <c r="C262" s="71"/>
      <c r="D262" s="71"/>
      <c r="E262" s="71"/>
      <c r="F262" s="211"/>
      <c r="G262" s="211"/>
      <c r="H262" s="211"/>
      <c r="I262" s="211"/>
      <c r="J262" s="71"/>
      <c r="K262" s="71"/>
      <c r="L262" s="211"/>
      <c r="M262" s="71"/>
      <c r="N262" s="71"/>
      <c r="AC262"/>
      <c r="AD262"/>
      <c r="AE262"/>
      <c r="AF262" s="71"/>
      <c r="AG262" s="71"/>
      <c r="AH262"/>
      <c r="AI262"/>
      <c r="AJ262" s="235"/>
      <c r="AR262" s="211"/>
    </row>
    <row r="263" spans="2:44" x14ac:dyDescent="0.25">
      <c r="B263" s="450"/>
      <c r="C263" s="71"/>
      <c r="D263" s="71"/>
      <c r="E263" s="71"/>
      <c r="F263" s="211"/>
      <c r="G263" s="211"/>
      <c r="H263" s="211"/>
      <c r="I263" s="211"/>
      <c r="J263" s="71"/>
      <c r="K263" s="71"/>
      <c r="L263" s="211"/>
      <c r="M263" s="71"/>
      <c r="N263" s="71"/>
      <c r="AC263"/>
      <c r="AD263"/>
      <c r="AE263"/>
      <c r="AF263" s="71"/>
      <c r="AG263" s="71"/>
      <c r="AH263"/>
      <c r="AI263"/>
      <c r="AJ263" s="235"/>
      <c r="AR263" s="211"/>
    </row>
    <row r="264" spans="2:44" x14ac:dyDescent="0.25">
      <c r="B264" s="450"/>
      <c r="C264" s="71"/>
      <c r="D264" s="71"/>
      <c r="E264" s="71"/>
      <c r="F264" s="211"/>
      <c r="G264" s="211"/>
      <c r="H264" s="211"/>
      <c r="I264" s="211"/>
      <c r="J264" s="71"/>
      <c r="K264" s="71"/>
      <c r="L264" s="211"/>
      <c r="M264" s="71"/>
      <c r="N264" s="71"/>
      <c r="AC264"/>
      <c r="AD264"/>
      <c r="AE264"/>
      <c r="AF264" s="71"/>
      <c r="AG264" s="71"/>
      <c r="AH264"/>
      <c r="AI264"/>
      <c r="AJ264" s="235"/>
      <c r="AR264" s="211"/>
    </row>
    <row r="265" spans="2:44" x14ac:dyDescent="0.25">
      <c r="B265" s="450"/>
      <c r="C265" s="71"/>
      <c r="D265" s="71"/>
      <c r="E265" s="71"/>
      <c r="F265" s="211"/>
      <c r="G265" s="211"/>
      <c r="H265" s="211"/>
      <c r="I265" s="211"/>
      <c r="J265" s="71"/>
      <c r="K265" s="71"/>
      <c r="L265" s="211"/>
      <c r="M265" s="71"/>
      <c r="N265" s="71"/>
      <c r="AC265"/>
      <c r="AD265"/>
      <c r="AE265"/>
      <c r="AF265" s="71"/>
      <c r="AG265" s="71"/>
      <c r="AH265"/>
      <c r="AI265"/>
      <c r="AJ265" s="235"/>
      <c r="AR265" s="211"/>
    </row>
    <row r="266" spans="2:44" x14ac:dyDescent="0.25">
      <c r="B266" s="450"/>
      <c r="C266" s="71"/>
      <c r="D266" s="71"/>
      <c r="E266" s="71"/>
      <c r="F266" s="211"/>
      <c r="G266" s="211"/>
      <c r="H266" s="211"/>
      <c r="I266" s="211"/>
      <c r="J266" s="71"/>
      <c r="K266" s="71"/>
      <c r="L266" s="211"/>
      <c r="M266" s="71"/>
      <c r="N266" s="71"/>
      <c r="AC266"/>
      <c r="AD266"/>
      <c r="AE266"/>
      <c r="AF266" s="71"/>
      <c r="AG266" s="71"/>
      <c r="AH266"/>
      <c r="AI266"/>
      <c r="AJ266" s="235"/>
      <c r="AR266" s="211"/>
    </row>
    <row r="267" spans="2:44" x14ac:dyDescent="0.25">
      <c r="B267" s="450"/>
      <c r="C267" s="71"/>
      <c r="D267" s="71"/>
      <c r="E267" s="71"/>
      <c r="F267" s="211"/>
      <c r="G267" s="211"/>
      <c r="H267" s="211"/>
      <c r="I267" s="211"/>
      <c r="J267" s="71"/>
      <c r="K267" s="71"/>
      <c r="L267" s="211"/>
      <c r="M267" s="71"/>
      <c r="N267" s="71"/>
      <c r="AC267"/>
      <c r="AD267"/>
      <c r="AE267"/>
      <c r="AF267" s="71"/>
      <c r="AG267" s="71"/>
      <c r="AH267"/>
      <c r="AI267"/>
      <c r="AJ267" s="235"/>
      <c r="AR267" s="211"/>
    </row>
    <row r="268" spans="2:44" x14ac:dyDescent="0.25">
      <c r="B268" s="450"/>
      <c r="C268" s="71"/>
      <c r="D268" s="71"/>
      <c r="E268" s="71"/>
      <c r="F268" s="211"/>
      <c r="G268" s="211"/>
      <c r="H268" s="211"/>
      <c r="I268" s="211"/>
      <c r="J268" s="71"/>
      <c r="K268" s="71"/>
      <c r="L268" s="211"/>
      <c r="M268" s="71"/>
      <c r="N268" s="71"/>
      <c r="AC268"/>
      <c r="AD268"/>
      <c r="AE268"/>
      <c r="AF268" s="71"/>
      <c r="AG268" s="71"/>
      <c r="AH268"/>
      <c r="AI268"/>
      <c r="AJ268" s="235"/>
      <c r="AR268" s="211"/>
    </row>
    <row r="269" spans="2:44" x14ac:dyDescent="0.25">
      <c r="B269" s="450"/>
      <c r="C269" s="71"/>
      <c r="D269" s="71"/>
      <c r="E269" s="71"/>
      <c r="F269" s="211"/>
      <c r="G269" s="211"/>
      <c r="H269" s="211"/>
      <c r="I269" s="211"/>
      <c r="J269" s="71"/>
      <c r="K269" s="71"/>
      <c r="L269" s="211"/>
      <c r="M269" s="71"/>
      <c r="N269" s="71"/>
      <c r="AC269"/>
      <c r="AD269"/>
      <c r="AE269"/>
      <c r="AF269" s="71"/>
      <c r="AG269" s="71"/>
      <c r="AH269"/>
      <c r="AI269"/>
      <c r="AJ269" s="235"/>
      <c r="AR269" s="211"/>
    </row>
    <row r="270" spans="2:44" x14ac:dyDescent="0.25">
      <c r="B270" s="450"/>
      <c r="C270" s="71"/>
      <c r="D270" s="71"/>
      <c r="E270" s="71"/>
      <c r="F270" s="211"/>
      <c r="G270" s="211"/>
      <c r="H270" s="211"/>
      <c r="I270" s="211"/>
      <c r="J270" s="71"/>
      <c r="K270" s="71"/>
      <c r="L270" s="211"/>
      <c r="M270" s="71"/>
      <c r="N270" s="71"/>
      <c r="AC270"/>
      <c r="AD270"/>
      <c r="AE270"/>
      <c r="AF270" s="71"/>
      <c r="AG270" s="71"/>
      <c r="AH270"/>
      <c r="AI270"/>
      <c r="AJ270" s="235"/>
      <c r="AR270" s="211"/>
    </row>
    <row r="271" spans="2:44" x14ac:dyDescent="0.25">
      <c r="B271" s="450"/>
      <c r="C271" s="71"/>
      <c r="D271" s="71"/>
      <c r="E271" s="71"/>
      <c r="F271" s="211"/>
      <c r="G271" s="211"/>
      <c r="H271" s="211"/>
      <c r="I271" s="211"/>
      <c r="J271" s="71"/>
      <c r="K271" s="71"/>
      <c r="L271" s="211"/>
      <c r="M271" s="71"/>
      <c r="N271" s="71"/>
      <c r="AC271"/>
      <c r="AD271"/>
      <c r="AE271"/>
      <c r="AF271" s="71"/>
      <c r="AG271" s="71"/>
      <c r="AH271"/>
      <c r="AI271"/>
      <c r="AJ271" s="235"/>
      <c r="AR271" s="211"/>
    </row>
    <row r="272" spans="2:44" x14ac:dyDescent="0.25">
      <c r="B272" s="450"/>
      <c r="C272" s="71"/>
      <c r="D272" s="71"/>
      <c r="E272" s="71"/>
      <c r="F272" s="211"/>
      <c r="G272" s="211"/>
      <c r="H272" s="211"/>
      <c r="I272" s="211"/>
      <c r="J272" s="71"/>
      <c r="K272" s="71"/>
      <c r="L272" s="211"/>
      <c r="M272" s="71"/>
      <c r="N272" s="71"/>
      <c r="AC272"/>
      <c r="AD272"/>
      <c r="AE272"/>
      <c r="AF272" s="71"/>
      <c r="AG272" s="71"/>
      <c r="AH272"/>
      <c r="AI272"/>
      <c r="AJ272" s="235"/>
      <c r="AR272" s="211"/>
    </row>
    <row r="273" spans="2:44" x14ac:dyDescent="0.25">
      <c r="B273" s="450"/>
      <c r="C273" s="71"/>
      <c r="D273" s="71"/>
      <c r="E273" s="71"/>
      <c r="F273" s="211"/>
      <c r="G273" s="211"/>
      <c r="H273" s="211"/>
      <c r="I273" s="211"/>
      <c r="J273" s="71"/>
      <c r="K273" s="71"/>
      <c r="L273" s="211"/>
      <c r="M273" s="71"/>
      <c r="N273" s="71"/>
      <c r="AC273"/>
      <c r="AD273"/>
      <c r="AE273"/>
      <c r="AF273" s="71"/>
      <c r="AG273" s="71"/>
      <c r="AH273"/>
      <c r="AI273"/>
      <c r="AJ273" s="235"/>
      <c r="AR273" s="211"/>
    </row>
    <row r="274" spans="2:44" x14ac:dyDescent="0.25">
      <c r="B274" s="450"/>
      <c r="C274" s="71"/>
      <c r="D274" s="71"/>
      <c r="E274" s="71"/>
      <c r="F274" s="211"/>
      <c r="G274" s="211"/>
      <c r="H274" s="211"/>
      <c r="I274" s="211"/>
      <c r="J274" s="71"/>
      <c r="K274" s="71"/>
      <c r="L274" s="211"/>
      <c r="M274" s="71"/>
      <c r="N274" s="71"/>
      <c r="AC274"/>
      <c r="AD274"/>
      <c r="AE274"/>
      <c r="AF274" s="71"/>
      <c r="AG274" s="71"/>
      <c r="AH274"/>
      <c r="AI274"/>
      <c r="AJ274" s="235"/>
      <c r="AR274" s="211"/>
    </row>
    <row r="275" spans="2:44" x14ac:dyDescent="0.25">
      <c r="B275" s="450"/>
      <c r="C275" s="71"/>
      <c r="D275" s="71"/>
      <c r="E275" s="71"/>
      <c r="F275" s="211"/>
      <c r="G275" s="211"/>
      <c r="H275" s="211"/>
      <c r="I275" s="211"/>
      <c r="J275" s="71"/>
      <c r="K275" s="71"/>
      <c r="L275" s="211"/>
      <c r="M275" s="71"/>
      <c r="N275" s="71"/>
      <c r="AC275"/>
      <c r="AD275"/>
      <c r="AE275"/>
      <c r="AF275" s="71"/>
      <c r="AG275" s="71"/>
      <c r="AH275"/>
      <c r="AI275"/>
      <c r="AJ275" s="235"/>
      <c r="AR275" s="211"/>
    </row>
    <row r="276" spans="2:44" x14ac:dyDescent="0.25">
      <c r="B276" s="450"/>
      <c r="C276" s="71"/>
      <c r="D276" s="71"/>
      <c r="E276" s="71"/>
      <c r="F276" s="211"/>
      <c r="G276" s="211"/>
      <c r="H276" s="211"/>
      <c r="I276" s="211"/>
      <c r="J276" s="71"/>
      <c r="K276" s="71"/>
      <c r="L276" s="211"/>
      <c r="M276" s="71"/>
      <c r="N276" s="71"/>
      <c r="AC276"/>
      <c r="AD276"/>
      <c r="AE276"/>
      <c r="AF276" s="71"/>
      <c r="AG276" s="71"/>
      <c r="AH276"/>
      <c r="AI276"/>
      <c r="AJ276" s="235"/>
      <c r="AR276" s="211"/>
    </row>
    <row r="277" spans="2:44" x14ac:dyDescent="0.25">
      <c r="B277" s="450"/>
      <c r="C277" s="71"/>
      <c r="D277" s="71"/>
      <c r="E277" s="71"/>
      <c r="F277" s="211"/>
      <c r="G277" s="211"/>
      <c r="H277" s="211"/>
      <c r="I277" s="211"/>
      <c r="J277" s="71"/>
      <c r="K277" s="71"/>
      <c r="L277" s="211"/>
      <c r="M277" s="71"/>
      <c r="N277" s="71"/>
      <c r="AC277"/>
      <c r="AD277"/>
      <c r="AE277"/>
      <c r="AF277" s="71"/>
      <c r="AG277" s="71"/>
      <c r="AH277"/>
      <c r="AI277"/>
      <c r="AJ277" s="235"/>
      <c r="AR277" s="211"/>
    </row>
    <row r="278" spans="2:44" x14ac:dyDescent="0.25">
      <c r="B278" s="450"/>
      <c r="C278" s="71"/>
      <c r="D278" s="71"/>
      <c r="E278" s="71"/>
      <c r="F278" s="211"/>
      <c r="G278" s="211"/>
      <c r="H278" s="211"/>
      <c r="I278" s="211"/>
      <c r="J278" s="71"/>
      <c r="K278" s="71"/>
      <c r="L278" s="211"/>
      <c r="M278" s="71"/>
      <c r="N278" s="71"/>
      <c r="AC278"/>
      <c r="AD278"/>
      <c r="AE278"/>
      <c r="AF278" s="71"/>
      <c r="AG278" s="71"/>
      <c r="AH278"/>
      <c r="AI278"/>
      <c r="AJ278" s="235"/>
      <c r="AR278" s="211"/>
    </row>
    <row r="279" spans="2:44" x14ac:dyDescent="0.25">
      <c r="B279" s="450"/>
      <c r="C279" s="71"/>
      <c r="D279" s="71"/>
      <c r="E279" s="71"/>
      <c r="F279" s="211"/>
      <c r="G279" s="211"/>
      <c r="H279" s="211"/>
      <c r="I279" s="211"/>
      <c r="J279" s="71"/>
      <c r="K279" s="71"/>
      <c r="L279" s="211"/>
      <c r="M279" s="71"/>
      <c r="N279" s="71"/>
      <c r="AC279"/>
      <c r="AD279"/>
      <c r="AE279"/>
      <c r="AF279" s="71"/>
      <c r="AG279" s="71"/>
      <c r="AH279"/>
      <c r="AI279"/>
      <c r="AJ279" s="235"/>
      <c r="AR279" s="211"/>
    </row>
    <row r="280" spans="2:44" x14ac:dyDescent="0.25">
      <c r="B280" s="450"/>
      <c r="C280" s="71"/>
      <c r="D280" s="71"/>
      <c r="E280" s="71"/>
      <c r="F280" s="211"/>
      <c r="G280" s="211"/>
      <c r="H280" s="211"/>
      <c r="I280" s="211"/>
      <c r="J280" s="71"/>
      <c r="K280" s="71"/>
      <c r="L280" s="211"/>
      <c r="M280" s="71"/>
      <c r="N280" s="71"/>
      <c r="AC280"/>
      <c r="AD280"/>
      <c r="AE280"/>
      <c r="AF280" s="71"/>
      <c r="AG280" s="71"/>
      <c r="AH280"/>
      <c r="AI280"/>
      <c r="AJ280" s="235"/>
      <c r="AR280" s="211"/>
    </row>
    <row r="281" spans="2:44" x14ac:dyDescent="0.25">
      <c r="B281" s="450"/>
      <c r="C281" s="71"/>
      <c r="D281" s="71"/>
      <c r="E281" s="71"/>
      <c r="F281" s="211"/>
      <c r="G281" s="211"/>
      <c r="H281" s="211"/>
      <c r="I281" s="211"/>
      <c r="J281" s="71"/>
      <c r="K281" s="71"/>
      <c r="L281" s="211"/>
      <c r="M281" s="71"/>
      <c r="N281" s="71"/>
      <c r="AC281"/>
      <c r="AD281"/>
      <c r="AE281"/>
      <c r="AF281" s="71"/>
      <c r="AG281" s="71"/>
      <c r="AH281"/>
      <c r="AI281"/>
      <c r="AJ281" s="235"/>
      <c r="AR281" s="211"/>
    </row>
    <row r="282" spans="2:44" x14ac:dyDescent="0.25">
      <c r="B282" s="450"/>
      <c r="C282" s="71"/>
      <c r="D282" s="71"/>
      <c r="E282" s="71"/>
      <c r="F282" s="211"/>
      <c r="G282" s="211"/>
      <c r="H282" s="211"/>
      <c r="I282" s="211"/>
      <c r="J282" s="71"/>
      <c r="K282" s="71"/>
      <c r="L282" s="211"/>
      <c r="M282" s="71"/>
      <c r="N282" s="71"/>
      <c r="AC282"/>
      <c r="AD282"/>
      <c r="AE282"/>
      <c r="AF282" s="71"/>
      <c r="AG282" s="71"/>
      <c r="AH282"/>
      <c r="AI282"/>
      <c r="AJ282" s="235"/>
      <c r="AR282" s="211"/>
    </row>
    <row r="283" spans="2:44" x14ac:dyDescent="0.25">
      <c r="B283" s="450"/>
      <c r="C283" s="71"/>
      <c r="D283" s="71"/>
      <c r="E283" s="71"/>
      <c r="F283" s="211"/>
      <c r="G283" s="211"/>
      <c r="H283" s="211"/>
      <c r="I283" s="211"/>
      <c r="J283" s="71"/>
      <c r="K283" s="71"/>
      <c r="L283" s="211"/>
      <c r="M283" s="71"/>
      <c r="N283" s="71"/>
      <c r="AC283"/>
      <c r="AD283"/>
      <c r="AE283"/>
      <c r="AF283" s="71"/>
      <c r="AG283" s="71"/>
      <c r="AH283"/>
      <c r="AI283"/>
      <c r="AJ283" s="235"/>
      <c r="AR283" s="211"/>
    </row>
    <row r="284" spans="2:44" x14ac:dyDescent="0.25">
      <c r="B284" s="450"/>
      <c r="C284" s="71"/>
      <c r="D284" s="71"/>
      <c r="E284" s="71"/>
      <c r="F284" s="211"/>
      <c r="G284" s="211"/>
      <c r="H284" s="211"/>
      <c r="I284" s="211"/>
      <c r="J284" s="71"/>
      <c r="K284" s="71"/>
      <c r="L284" s="211"/>
      <c r="M284" s="71"/>
      <c r="N284" s="71"/>
      <c r="AC284"/>
      <c r="AD284"/>
      <c r="AE284"/>
      <c r="AF284" s="71"/>
      <c r="AG284" s="71"/>
      <c r="AH284"/>
      <c r="AI284"/>
      <c r="AJ284" s="235"/>
      <c r="AR284" s="211"/>
    </row>
    <row r="285" spans="2:44" x14ac:dyDescent="0.25">
      <c r="B285" s="450"/>
      <c r="C285" s="71"/>
      <c r="D285" s="71"/>
      <c r="E285" s="71"/>
      <c r="F285" s="211"/>
      <c r="G285" s="211"/>
      <c r="H285" s="211"/>
      <c r="I285" s="211"/>
      <c r="J285" s="71"/>
      <c r="K285" s="71"/>
      <c r="L285" s="211"/>
      <c r="M285" s="71"/>
      <c r="N285" s="71"/>
      <c r="AC285"/>
      <c r="AD285"/>
      <c r="AE285"/>
      <c r="AF285" s="71"/>
      <c r="AG285" s="71"/>
      <c r="AH285"/>
      <c r="AI285"/>
      <c r="AJ285" s="235"/>
      <c r="AR285" s="211"/>
    </row>
    <row r="286" spans="2:44" x14ac:dyDescent="0.25">
      <c r="B286" s="450"/>
      <c r="C286" s="71"/>
      <c r="D286" s="71"/>
      <c r="E286" s="71"/>
      <c r="F286" s="211"/>
      <c r="G286" s="211"/>
      <c r="H286" s="211"/>
      <c r="I286" s="211"/>
      <c r="J286" s="71"/>
      <c r="K286" s="71"/>
      <c r="L286" s="211"/>
      <c r="M286" s="71"/>
      <c r="N286" s="71"/>
      <c r="AC286"/>
      <c r="AD286"/>
      <c r="AE286"/>
      <c r="AF286" s="71"/>
      <c r="AG286" s="71"/>
      <c r="AH286"/>
      <c r="AI286"/>
      <c r="AJ286" s="235"/>
      <c r="AR286" s="211"/>
    </row>
    <row r="287" spans="2:44" x14ac:dyDescent="0.25">
      <c r="B287" s="450"/>
      <c r="C287" s="71"/>
      <c r="D287" s="71"/>
      <c r="E287" s="71"/>
      <c r="F287" s="211"/>
      <c r="G287" s="211"/>
      <c r="H287" s="211"/>
      <c r="I287" s="211"/>
      <c r="J287" s="71"/>
      <c r="K287" s="71"/>
      <c r="L287" s="211"/>
      <c r="M287" s="71"/>
      <c r="N287" s="71"/>
      <c r="AC287"/>
      <c r="AD287"/>
      <c r="AE287"/>
      <c r="AF287" s="71"/>
      <c r="AG287" s="71"/>
      <c r="AH287"/>
      <c r="AI287"/>
      <c r="AJ287" s="235"/>
      <c r="AR287" s="211"/>
    </row>
    <row r="288" spans="2:44" x14ac:dyDescent="0.25">
      <c r="B288" s="450"/>
      <c r="C288" s="71"/>
      <c r="D288" s="71"/>
      <c r="E288" s="71"/>
      <c r="F288" s="211"/>
      <c r="G288" s="211"/>
      <c r="H288" s="211"/>
      <c r="I288" s="211"/>
      <c r="J288" s="71"/>
      <c r="K288" s="71"/>
      <c r="L288" s="211"/>
      <c r="M288" s="71"/>
      <c r="N288" s="71"/>
      <c r="AC288"/>
      <c r="AD288"/>
      <c r="AE288"/>
      <c r="AF288" s="71"/>
      <c r="AG288" s="71"/>
      <c r="AH288"/>
      <c r="AI288"/>
      <c r="AJ288" s="235"/>
      <c r="AR288" s="211"/>
    </row>
    <row r="289" spans="2:44" x14ac:dyDescent="0.25">
      <c r="B289" s="450"/>
      <c r="C289" s="71"/>
      <c r="D289" s="71"/>
      <c r="E289" s="71"/>
      <c r="F289" s="211"/>
      <c r="G289" s="211"/>
      <c r="H289" s="211"/>
      <c r="I289" s="211"/>
      <c r="J289" s="71"/>
      <c r="K289" s="71"/>
      <c r="L289" s="211"/>
      <c r="M289" s="71"/>
      <c r="N289" s="71"/>
      <c r="AC289"/>
      <c r="AD289"/>
      <c r="AE289"/>
      <c r="AF289" s="71"/>
      <c r="AG289" s="71"/>
      <c r="AH289"/>
      <c r="AI289"/>
      <c r="AJ289" s="235"/>
      <c r="AR289" s="211"/>
    </row>
    <row r="290" spans="2:44" x14ac:dyDescent="0.25">
      <c r="B290" s="450"/>
      <c r="C290" s="71"/>
      <c r="D290" s="71"/>
      <c r="E290" s="71"/>
      <c r="F290" s="211"/>
      <c r="G290" s="211"/>
      <c r="H290" s="211"/>
      <c r="I290" s="211"/>
      <c r="J290" s="71"/>
      <c r="K290" s="71"/>
      <c r="L290" s="211"/>
      <c r="M290" s="71"/>
      <c r="N290" s="71"/>
      <c r="AC290"/>
      <c r="AD290"/>
      <c r="AE290"/>
      <c r="AF290" s="71"/>
      <c r="AG290" s="71"/>
      <c r="AH290"/>
      <c r="AI290"/>
      <c r="AJ290" s="235"/>
      <c r="AR290" s="211"/>
    </row>
    <row r="291" spans="2:44" x14ac:dyDescent="0.25">
      <c r="B291" s="450"/>
      <c r="C291" s="71"/>
      <c r="D291" s="71"/>
      <c r="E291" s="71"/>
      <c r="F291" s="211"/>
      <c r="G291" s="211"/>
      <c r="H291" s="211"/>
      <c r="I291" s="211"/>
      <c r="J291" s="71"/>
      <c r="K291" s="71"/>
      <c r="L291" s="211"/>
      <c r="M291" s="71"/>
      <c r="N291" s="71"/>
      <c r="AC291"/>
      <c r="AD291"/>
      <c r="AE291"/>
      <c r="AF291" s="71"/>
      <c r="AG291" s="71"/>
      <c r="AH291"/>
      <c r="AI291"/>
      <c r="AJ291" s="235"/>
      <c r="AR291" s="211"/>
    </row>
    <row r="292" spans="2:44" x14ac:dyDescent="0.25">
      <c r="B292" s="450"/>
      <c r="C292" s="71"/>
      <c r="D292" s="71"/>
      <c r="E292" s="71"/>
      <c r="F292" s="211"/>
      <c r="G292" s="211"/>
      <c r="H292" s="211"/>
      <c r="I292" s="211"/>
      <c r="J292" s="71"/>
      <c r="K292" s="71"/>
      <c r="L292" s="211"/>
      <c r="M292" s="71"/>
      <c r="N292" s="71"/>
      <c r="AC292"/>
      <c r="AD292"/>
      <c r="AE292"/>
      <c r="AF292" s="71"/>
      <c r="AG292" s="71"/>
      <c r="AH292"/>
      <c r="AI292"/>
      <c r="AJ292" s="235"/>
      <c r="AR292" s="211"/>
    </row>
    <row r="293" spans="2:44" x14ac:dyDescent="0.25">
      <c r="B293" s="450"/>
      <c r="C293" s="71"/>
      <c r="D293" s="71"/>
      <c r="E293" s="71"/>
      <c r="F293" s="211"/>
      <c r="G293" s="211"/>
      <c r="H293" s="211"/>
      <c r="I293" s="211"/>
      <c r="J293" s="71"/>
      <c r="K293" s="71"/>
      <c r="L293" s="211"/>
      <c r="M293" s="71"/>
      <c r="N293" s="71"/>
      <c r="AC293"/>
      <c r="AD293"/>
      <c r="AE293"/>
      <c r="AF293" s="71"/>
      <c r="AG293" s="71"/>
      <c r="AH293"/>
      <c r="AI293"/>
      <c r="AJ293" s="235"/>
      <c r="AR293" s="211"/>
    </row>
    <row r="294" spans="2:44" x14ac:dyDescent="0.25">
      <c r="B294" s="450"/>
      <c r="C294" s="71"/>
      <c r="D294" s="71"/>
      <c r="E294" s="71"/>
      <c r="F294" s="211"/>
      <c r="G294" s="211"/>
      <c r="H294" s="211"/>
      <c r="I294" s="211"/>
      <c r="J294" s="71"/>
      <c r="K294" s="71"/>
      <c r="L294" s="211"/>
      <c r="M294" s="71"/>
      <c r="N294" s="71"/>
      <c r="AC294"/>
      <c r="AD294"/>
      <c r="AE294"/>
      <c r="AF294" s="71"/>
      <c r="AG294" s="71"/>
      <c r="AH294"/>
      <c r="AI294"/>
      <c r="AJ294" s="235"/>
      <c r="AR294" s="211"/>
    </row>
    <row r="295" spans="2:44" x14ac:dyDescent="0.25">
      <c r="B295" s="450"/>
      <c r="C295" s="71"/>
      <c r="D295" s="71"/>
      <c r="E295" s="71"/>
      <c r="F295" s="211"/>
      <c r="G295" s="211"/>
      <c r="H295" s="211"/>
      <c r="I295" s="211"/>
      <c r="J295" s="71"/>
      <c r="K295" s="71"/>
      <c r="L295" s="211"/>
      <c r="M295" s="71"/>
      <c r="N295" s="71"/>
      <c r="AC295"/>
      <c r="AD295"/>
      <c r="AE295"/>
      <c r="AF295" s="71"/>
      <c r="AG295" s="71"/>
      <c r="AH295"/>
      <c r="AI295"/>
      <c r="AJ295" s="235"/>
      <c r="AR295" s="211"/>
    </row>
    <row r="296" spans="2:44" x14ac:dyDescent="0.25">
      <c r="B296" s="450"/>
      <c r="C296" s="71"/>
      <c r="D296" s="71"/>
      <c r="E296" s="71"/>
      <c r="F296" s="211"/>
      <c r="G296" s="211"/>
      <c r="H296" s="211"/>
      <c r="I296" s="211"/>
      <c r="J296" s="71"/>
      <c r="K296" s="71"/>
      <c r="L296" s="211"/>
      <c r="M296" s="71"/>
      <c r="N296" s="71"/>
      <c r="AC296"/>
      <c r="AD296"/>
      <c r="AE296"/>
      <c r="AF296" s="71"/>
      <c r="AG296" s="71"/>
      <c r="AH296"/>
      <c r="AI296"/>
      <c r="AJ296" s="235"/>
      <c r="AR296" s="211"/>
    </row>
    <row r="297" spans="2:44" x14ac:dyDescent="0.25">
      <c r="B297" s="450"/>
      <c r="C297" s="71"/>
      <c r="D297" s="71"/>
      <c r="E297" s="71"/>
      <c r="F297" s="211"/>
      <c r="G297" s="211"/>
      <c r="H297" s="211"/>
      <c r="I297" s="211"/>
      <c r="J297" s="71"/>
      <c r="K297" s="71"/>
      <c r="L297" s="211"/>
      <c r="M297" s="71"/>
      <c r="N297" s="71"/>
      <c r="AC297"/>
      <c r="AD297"/>
      <c r="AE297"/>
      <c r="AF297" s="71"/>
      <c r="AG297" s="71"/>
      <c r="AH297"/>
      <c r="AI297"/>
      <c r="AJ297" s="235"/>
      <c r="AR297" s="211"/>
    </row>
    <row r="298" spans="2:44" x14ac:dyDescent="0.25">
      <c r="B298" s="450"/>
      <c r="C298" s="71"/>
      <c r="D298" s="71"/>
      <c r="E298" s="71"/>
      <c r="F298" s="211"/>
      <c r="G298" s="211"/>
      <c r="H298" s="211"/>
      <c r="I298" s="211"/>
      <c r="J298" s="71"/>
      <c r="K298" s="71"/>
      <c r="L298" s="211"/>
      <c r="M298" s="71"/>
      <c r="N298" s="71"/>
      <c r="AC298"/>
      <c r="AD298"/>
      <c r="AE298"/>
      <c r="AF298" s="71"/>
      <c r="AG298" s="71"/>
      <c r="AH298"/>
      <c r="AI298"/>
      <c r="AJ298" s="235"/>
      <c r="AR298" s="211"/>
    </row>
    <row r="299" spans="2:44" x14ac:dyDescent="0.25">
      <c r="B299" s="450"/>
      <c r="C299" s="71"/>
      <c r="D299" s="71"/>
      <c r="E299" s="71"/>
      <c r="F299" s="211"/>
      <c r="G299" s="211"/>
      <c r="H299" s="211"/>
      <c r="I299" s="211"/>
      <c r="J299" s="71"/>
      <c r="K299" s="71"/>
      <c r="L299" s="211"/>
      <c r="M299" s="71"/>
      <c r="N299" s="71"/>
      <c r="AC299"/>
      <c r="AD299"/>
      <c r="AE299"/>
      <c r="AF299" s="71"/>
      <c r="AG299" s="71"/>
      <c r="AH299"/>
      <c r="AI299"/>
      <c r="AJ299" s="235"/>
      <c r="AR299" s="211"/>
    </row>
    <row r="300" spans="2:44" x14ac:dyDescent="0.25">
      <c r="B300" s="450"/>
      <c r="C300" s="71"/>
      <c r="D300" s="71"/>
      <c r="E300" s="71"/>
      <c r="F300" s="211"/>
      <c r="G300" s="211"/>
      <c r="H300" s="211"/>
      <c r="I300" s="211"/>
      <c r="J300" s="71"/>
      <c r="K300" s="71"/>
      <c r="L300" s="211"/>
      <c r="M300" s="71"/>
      <c r="N300" s="71"/>
      <c r="AC300"/>
      <c r="AD300"/>
      <c r="AE300"/>
      <c r="AF300" s="71"/>
      <c r="AG300" s="71"/>
      <c r="AH300"/>
      <c r="AI300"/>
      <c r="AJ300" s="235"/>
      <c r="AR300" s="211"/>
    </row>
    <row r="301" spans="2:44" x14ac:dyDescent="0.25">
      <c r="B301" s="450"/>
      <c r="C301" s="71"/>
      <c r="D301" s="71"/>
      <c r="E301" s="71"/>
      <c r="F301" s="211"/>
      <c r="G301" s="211"/>
      <c r="H301" s="211"/>
      <c r="I301" s="211"/>
      <c r="J301" s="71"/>
      <c r="K301" s="71"/>
      <c r="L301" s="211"/>
      <c r="M301" s="71"/>
      <c r="N301" s="71"/>
      <c r="AC301"/>
      <c r="AD301"/>
      <c r="AE301"/>
      <c r="AF301" s="71"/>
      <c r="AG301" s="71"/>
      <c r="AH301"/>
      <c r="AI301"/>
      <c r="AJ301" s="235"/>
      <c r="AR301" s="211"/>
    </row>
    <row r="302" spans="2:44" x14ac:dyDescent="0.25">
      <c r="B302" s="450"/>
      <c r="C302" s="71"/>
      <c r="D302" s="71"/>
      <c r="E302" s="71"/>
      <c r="F302" s="211"/>
      <c r="G302" s="211"/>
      <c r="H302" s="211"/>
      <c r="I302" s="211"/>
      <c r="J302" s="71"/>
      <c r="K302" s="71"/>
      <c r="L302" s="211"/>
      <c r="M302" s="71"/>
      <c r="N302" s="71"/>
      <c r="AC302"/>
      <c r="AD302"/>
      <c r="AE302"/>
      <c r="AF302" s="71"/>
      <c r="AG302" s="71"/>
      <c r="AH302"/>
      <c r="AI302"/>
      <c r="AJ302" s="235"/>
      <c r="AR302" s="211"/>
    </row>
    <row r="303" spans="2:44" x14ac:dyDescent="0.25">
      <c r="B303" s="450"/>
      <c r="C303" s="71"/>
      <c r="D303" s="71"/>
      <c r="E303" s="71"/>
      <c r="F303" s="211"/>
      <c r="G303" s="211"/>
      <c r="H303" s="211"/>
      <c r="I303" s="211"/>
      <c r="J303" s="71"/>
      <c r="K303" s="71"/>
      <c r="L303" s="211"/>
      <c r="M303" s="71"/>
      <c r="N303" s="71"/>
      <c r="AC303"/>
      <c r="AD303"/>
      <c r="AE303"/>
      <c r="AF303" s="71"/>
      <c r="AG303" s="71"/>
      <c r="AH303"/>
      <c r="AI303"/>
      <c r="AJ303" s="235"/>
      <c r="AR303" s="211"/>
    </row>
    <row r="304" spans="2:44" x14ac:dyDescent="0.25">
      <c r="B304" s="450"/>
      <c r="C304" s="71"/>
      <c r="D304" s="71"/>
      <c r="E304" s="71"/>
      <c r="F304" s="211"/>
      <c r="G304" s="211"/>
      <c r="H304" s="211"/>
      <c r="I304" s="211"/>
      <c r="J304" s="71"/>
      <c r="K304" s="71"/>
      <c r="L304" s="211"/>
      <c r="M304" s="71"/>
      <c r="N304" s="71"/>
      <c r="AC304"/>
      <c r="AD304"/>
      <c r="AE304"/>
      <c r="AF304" s="71"/>
      <c r="AG304" s="71"/>
      <c r="AH304"/>
      <c r="AI304"/>
      <c r="AJ304" s="235"/>
      <c r="AR304" s="211"/>
    </row>
    <row r="305" spans="2:44" x14ac:dyDescent="0.25">
      <c r="B305" s="450"/>
      <c r="C305" s="71"/>
      <c r="D305" s="71"/>
      <c r="E305" s="71"/>
      <c r="F305" s="211"/>
      <c r="G305" s="211"/>
      <c r="H305" s="211"/>
      <c r="I305" s="211"/>
      <c r="J305" s="71"/>
      <c r="K305" s="71"/>
      <c r="L305" s="211"/>
      <c r="M305" s="71"/>
      <c r="N305" s="71"/>
      <c r="AC305"/>
      <c r="AD305"/>
      <c r="AE305"/>
      <c r="AF305" s="71"/>
      <c r="AG305" s="71"/>
      <c r="AH305"/>
      <c r="AI305"/>
      <c r="AJ305" s="235"/>
      <c r="AR305" s="211"/>
    </row>
    <row r="306" spans="2:44" x14ac:dyDescent="0.25">
      <c r="B306" s="450"/>
      <c r="C306" s="71"/>
      <c r="D306" s="71"/>
      <c r="E306" s="71"/>
      <c r="F306" s="211"/>
      <c r="G306" s="211"/>
      <c r="H306" s="211"/>
      <c r="I306" s="211"/>
      <c r="J306" s="71"/>
      <c r="K306" s="71"/>
      <c r="L306" s="211"/>
      <c r="M306" s="71"/>
      <c r="N306" s="71"/>
      <c r="AC306"/>
      <c r="AD306"/>
      <c r="AE306"/>
      <c r="AF306" s="71"/>
      <c r="AG306" s="71"/>
      <c r="AH306"/>
      <c r="AI306"/>
      <c r="AJ306" s="235"/>
      <c r="AR306" s="211"/>
    </row>
    <row r="307" spans="2:44" x14ac:dyDescent="0.25">
      <c r="B307" s="450"/>
      <c r="C307" s="71"/>
      <c r="D307" s="71"/>
      <c r="E307" s="71"/>
      <c r="F307" s="211"/>
      <c r="G307" s="211"/>
      <c r="H307" s="211"/>
      <c r="I307" s="211"/>
      <c r="J307" s="71"/>
      <c r="K307" s="71"/>
      <c r="L307" s="211"/>
      <c r="M307" s="71"/>
      <c r="N307" s="71"/>
      <c r="AC307"/>
      <c r="AD307"/>
      <c r="AE307"/>
      <c r="AF307" s="71"/>
      <c r="AG307" s="71"/>
      <c r="AH307"/>
      <c r="AI307"/>
      <c r="AJ307" s="235"/>
      <c r="AR307" s="211"/>
    </row>
    <row r="308" spans="2:44" x14ac:dyDescent="0.25">
      <c r="B308" s="450"/>
      <c r="C308" s="71"/>
      <c r="D308" s="71"/>
      <c r="E308" s="71"/>
      <c r="F308" s="211"/>
      <c r="G308" s="211"/>
      <c r="H308" s="211"/>
      <c r="I308" s="211"/>
      <c r="J308" s="71"/>
      <c r="K308" s="71"/>
      <c r="L308" s="211"/>
      <c r="M308" s="71"/>
      <c r="N308" s="71"/>
      <c r="AC308"/>
      <c r="AD308"/>
      <c r="AE308"/>
      <c r="AF308" s="71"/>
      <c r="AG308" s="71"/>
      <c r="AH308"/>
      <c r="AI308"/>
      <c r="AJ308" s="235"/>
      <c r="AR308" s="211"/>
    </row>
    <row r="309" spans="2:44" x14ac:dyDescent="0.25">
      <c r="B309" s="450"/>
      <c r="C309" s="71"/>
      <c r="D309" s="71"/>
      <c r="E309" s="71"/>
      <c r="F309" s="211"/>
      <c r="G309" s="211"/>
      <c r="H309" s="211"/>
      <c r="I309" s="211"/>
      <c r="J309" s="71"/>
      <c r="K309" s="71"/>
      <c r="L309" s="211"/>
      <c r="M309" s="71"/>
      <c r="N309" s="71"/>
      <c r="AC309"/>
      <c r="AD309"/>
      <c r="AE309"/>
      <c r="AF309" s="71"/>
      <c r="AG309" s="71"/>
      <c r="AH309"/>
      <c r="AI309"/>
      <c r="AJ309" s="235"/>
      <c r="AR309" s="211"/>
    </row>
    <row r="310" spans="2:44" x14ac:dyDescent="0.25">
      <c r="B310" s="450"/>
      <c r="C310" s="71"/>
      <c r="D310" s="71"/>
      <c r="E310" s="71"/>
      <c r="F310" s="211"/>
      <c r="G310" s="211"/>
      <c r="H310" s="211"/>
      <c r="I310" s="211"/>
      <c r="J310" s="71"/>
      <c r="K310" s="71"/>
      <c r="L310" s="211"/>
      <c r="M310" s="71"/>
      <c r="N310" s="71"/>
      <c r="AC310"/>
      <c r="AD310"/>
      <c r="AE310"/>
      <c r="AF310" s="71"/>
      <c r="AG310" s="71"/>
      <c r="AH310"/>
      <c r="AI310"/>
      <c r="AJ310" s="235"/>
      <c r="AR310" s="211"/>
    </row>
    <row r="311" spans="2:44" x14ac:dyDescent="0.25">
      <c r="B311" s="450"/>
      <c r="C311" s="71"/>
      <c r="D311" s="71"/>
      <c r="E311" s="71"/>
      <c r="F311" s="211"/>
      <c r="G311" s="211"/>
      <c r="H311" s="211"/>
      <c r="I311" s="211"/>
      <c r="J311" s="71"/>
      <c r="K311" s="71"/>
      <c r="L311" s="211"/>
      <c r="M311" s="71"/>
      <c r="N311" s="71"/>
      <c r="AC311"/>
      <c r="AD311"/>
      <c r="AE311"/>
      <c r="AF311" s="71"/>
      <c r="AG311" s="71"/>
      <c r="AH311"/>
      <c r="AI311"/>
      <c r="AJ311" s="235"/>
      <c r="AR311" s="211"/>
    </row>
    <row r="312" spans="2:44" x14ac:dyDescent="0.25">
      <c r="B312" s="450"/>
      <c r="C312" s="71"/>
      <c r="D312" s="71"/>
      <c r="E312" s="71"/>
      <c r="F312" s="211"/>
      <c r="G312" s="211"/>
      <c r="H312" s="211"/>
      <c r="I312" s="211"/>
      <c r="J312" s="71"/>
      <c r="K312" s="71"/>
      <c r="L312" s="211"/>
      <c r="M312" s="71"/>
      <c r="N312" s="71"/>
      <c r="AC312"/>
      <c r="AD312"/>
      <c r="AE312"/>
      <c r="AF312" s="71"/>
      <c r="AG312" s="71"/>
      <c r="AH312"/>
      <c r="AI312"/>
      <c r="AJ312" s="235"/>
      <c r="AR312" s="211"/>
    </row>
    <row r="313" spans="2:44" x14ac:dyDescent="0.25">
      <c r="B313" s="450"/>
      <c r="C313" s="71"/>
      <c r="D313" s="71"/>
      <c r="E313" s="71"/>
      <c r="F313" s="211"/>
      <c r="G313" s="211"/>
      <c r="H313" s="211"/>
      <c r="I313" s="211"/>
      <c r="J313" s="71"/>
      <c r="K313" s="71"/>
      <c r="L313" s="211"/>
      <c r="M313" s="71"/>
      <c r="N313" s="71"/>
      <c r="AC313"/>
      <c r="AD313"/>
      <c r="AE313"/>
      <c r="AF313" s="71"/>
      <c r="AG313" s="71"/>
      <c r="AH313"/>
      <c r="AI313"/>
      <c r="AJ313" s="235"/>
      <c r="AR313" s="211"/>
    </row>
    <row r="314" spans="2:44" x14ac:dyDescent="0.25">
      <c r="B314" s="450"/>
      <c r="C314" s="71"/>
      <c r="D314" s="71"/>
      <c r="E314" s="71"/>
      <c r="F314" s="211"/>
      <c r="G314" s="211"/>
      <c r="H314" s="211"/>
      <c r="I314" s="211"/>
      <c r="J314" s="71"/>
      <c r="K314" s="71"/>
      <c r="L314" s="211"/>
      <c r="M314" s="71"/>
      <c r="N314" s="71"/>
      <c r="AC314"/>
      <c r="AD314"/>
      <c r="AE314"/>
      <c r="AF314" s="71"/>
      <c r="AG314" s="71"/>
      <c r="AH314"/>
      <c r="AI314"/>
      <c r="AJ314" s="235"/>
      <c r="AR314" s="211"/>
    </row>
    <row r="315" spans="2:44" x14ac:dyDescent="0.25">
      <c r="B315" s="450"/>
      <c r="C315" s="71"/>
      <c r="D315" s="71"/>
      <c r="E315" s="71"/>
      <c r="F315" s="211"/>
      <c r="G315" s="211"/>
      <c r="H315" s="211"/>
      <c r="I315" s="211"/>
      <c r="J315" s="71"/>
      <c r="K315" s="71"/>
      <c r="L315" s="211"/>
      <c r="M315" s="71"/>
      <c r="N315" s="71"/>
      <c r="AC315"/>
      <c r="AD315"/>
      <c r="AE315"/>
      <c r="AF315" s="71"/>
      <c r="AG315" s="71"/>
      <c r="AH315"/>
      <c r="AI315"/>
      <c r="AJ315" s="235"/>
      <c r="AR315" s="211"/>
    </row>
    <row r="316" spans="2:44" x14ac:dyDescent="0.25">
      <c r="B316" s="450"/>
      <c r="C316" s="71"/>
      <c r="D316" s="71"/>
      <c r="E316" s="71"/>
      <c r="F316" s="211"/>
      <c r="G316" s="211"/>
      <c r="H316" s="211"/>
      <c r="I316" s="211"/>
      <c r="J316" s="71"/>
      <c r="K316" s="71"/>
      <c r="L316" s="211"/>
      <c r="M316" s="71"/>
      <c r="N316" s="71"/>
      <c r="AC316"/>
      <c r="AD316"/>
      <c r="AE316"/>
      <c r="AF316" s="71"/>
      <c r="AG316" s="71"/>
      <c r="AH316"/>
      <c r="AI316"/>
      <c r="AJ316" s="235"/>
      <c r="AR316" s="211"/>
    </row>
    <row r="317" spans="2:44" x14ac:dyDescent="0.25">
      <c r="B317" s="450"/>
      <c r="C317" s="71"/>
      <c r="D317" s="71"/>
      <c r="E317" s="71"/>
      <c r="F317" s="211"/>
      <c r="G317" s="211"/>
      <c r="H317" s="211"/>
      <c r="I317" s="211"/>
      <c r="J317" s="71"/>
      <c r="K317" s="71"/>
      <c r="L317" s="211"/>
      <c r="M317" s="71"/>
      <c r="N317" s="71"/>
      <c r="AC317"/>
      <c r="AD317"/>
      <c r="AE317"/>
      <c r="AF317" s="71"/>
      <c r="AG317" s="71"/>
      <c r="AH317"/>
      <c r="AI317"/>
      <c r="AJ317" s="235"/>
      <c r="AR317" s="211"/>
    </row>
    <row r="318" spans="2:44" x14ac:dyDescent="0.25">
      <c r="B318" s="450"/>
      <c r="C318" s="71"/>
      <c r="D318" s="71"/>
      <c r="E318" s="71"/>
      <c r="F318" s="211"/>
      <c r="G318" s="211"/>
      <c r="H318" s="211"/>
      <c r="I318" s="211"/>
      <c r="J318" s="71"/>
      <c r="K318" s="71"/>
      <c r="L318" s="211"/>
      <c r="M318" s="71"/>
      <c r="N318" s="71"/>
      <c r="AC318"/>
      <c r="AD318"/>
      <c r="AE318"/>
      <c r="AF318" s="71"/>
      <c r="AG318" s="71"/>
      <c r="AH318"/>
      <c r="AI318"/>
      <c r="AJ318" s="235"/>
      <c r="AR318" s="211"/>
    </row>
    <row r="319" spans="2:44" x14ac:dyDescent="0.25">
      <c r="B319" s="450"/>
      <c r="C319" s="71"/>
      <c r="D319" s="71"/>
      <c r="E319" s="71"/>
      <c r="F319" s="211"/>
      <c r="G319" s="211"/>
      <c r="H319" s="211"/>
      <c r="I319" s="211"/>
      <c r="J319" s="71"/>
      <c r="K319" s="71"/>
      <c r="L319" s="211"/>
      <c r="M319" s="71"/>
      <c r="N319" s="71"/>
      <c r="AC319"/>
      <c r="AD319"/>
      <c r="AE319"/>
      <c r="AF319" s="71"/>
      <c r="AG319" s="71"/>
      <c r="AH319"/>
      <c r="AI319"/>
      <c r="AJ319" s="235"/>
      <c r="AR319" s="211"/>
    </row>
    <row r="320" spans="2:44" x14ac:dyDescent="0.25">
      <c r="B320" s="450"/>
      <c r="C320" s="71"/>
      <c r="D320" s="71"/>
      <c r="E320" s="71"/>
      <c r="F320" s="211"/>
      <c r="G320" s="211"/>
      <c r="H320" s="211"/>
      <c r="I320" s="211"/>
      <c r="J320" s="71"/>
      <c r="K320" s="71"/>
      <c r="L320" s="211"/>
      <c r="M320" s="71"/>
      <c r="N320" s="71"/>
      <c r="AC320"/>
      <c r="AD320"/>
      <c r="AE320"/>
      <c r="AF320" s="71"/>
      <c r="AG320" s="71"/>
      <c r="AH320"/>
      <c r="AI320"/>
      <c r="AJ320" s="235"/>
      <c r="AR320" s="211"/>
    </row>
    <row r="321" spans="2:44" x14ac:dyDescent="0.25">
      <c r="B321" s="450"/>
      <c r="C321" s="71"/>
      <c r="D321" s="71"/>
      <c r="E321" s="71"/>
      <c r="F321" s="211"/>
      <c r="G321" s="211"/>
      <c r="H321" s="211"/>
      <c r="I321" s="211"/>
      <c r="J321" s="71"/>
      <c r="K321" s="71"/>
      <c r="L321" s="211"/>
      <c r="M321" s="71"/>
      <c r="N321" s="71"/>
      <c r="AC321"/>
      <c r="AD321"/>
      <c r="AE321"/>
      <c r="AF321" s="71"/>
      <c r="AG321" s="71"/>
      <c r="AH321"/>
      <c r="AI321"/>
      <c r="AJ321" s="235"/>
      <c r="AR321" s="211"/>
    </row>
    <row r="322" spans="2:44" x14ac:dyDescent="0.25">
      <c r="B322" s="450"/>
      <c r="C322" s="71"/>
      <c r="D322" s="71"/>
      <c r="E322" s="71"/>
      <c r="F322" s="211"/>
      <c r="G322" s="211"/>
      <c r="H322" s="211"/>
      <c r="I322" s="211"/>
      <c r="J322" s="71"/>
      <c r="K322" s="71"/>
      <c r="L322" s="211"/>
      <c r="M322" s="71"/>
      <c r="N322" s="71"/>
      <c r="AC322"/>
      <c r="AD322"/>
      <c r="AE322"/>
      <c r="AF322" s="71"/>
      <c r="AG322" s="71"/>
      <c r="AH322"/>
      <c r="AI322"/>
      <c r="AJ322" s="235"/>
      <c r="AR322" s="211"/>
    </row>
    <row r="323" spans="2:44" x14ac:dyDescent="0.25">
      <c r="B323" s="450"/>
      <c r="C323" s="71"/>
      <c r="D323" s="71"/>
      <c r="E323" s="71"/>
      <c r="F323" s="211"/>
      <c r="G323" s="211"/>
      <c r="H323" s="211"/>
      <c r="I323" s="211"/>
      <c r="J323" s="71"/>
      <c r="K323" s="71"/>
      <c r="L323" s="211"/>
      <c r="M323" s="71"/>
      <c r="N323" s="71"/>
      <c r="AC323"/>
      <c r="AD323"/>
      <c r="AE323"/>
      <c r="AF323" s="71"/>
      <c r="AG323" s="71"/>
      <c r="AH323"/>
      <c r="AI323"/>
      <c r="AJ323" s="235"/>
      <c r="AR323" s="211"/>
    </row>
    <row r="324" spans="2:44" x14ac:dyDescent="0.25">
      <c r="B324" s="450"/>
      <c r="C324" s="71"/>
      <c r="D324" s="71"/>
      <c r="E324" s="71"/>
      <c r="F324" s="211"/>
      <c r="G324" s="211"/>
      <c r="H324" s="211"/>
      <c r="I324" s="211"/>
      <c r="J324" s="71"/>
      <c r="K324" s="71"/>
      <c r="L324" s="211"/>
      <c r="M324" s="71"/>
      <c r="N324" s="71"/>
      <c r="AC324"/>
      <c r="AD324"/>
      <c r="AE324"/>
      <c r="AF324" s="71"/>
      <c r="AG324" s="71"/>
      <c r="AH324"/>
      <c r="AI324"/>
      <c r="AJ324" s="235"/>
      <c r="AR324" s="211"/>
    </row>
    <row r="325" spans="2:44" x14ac:dyDescent="0.25">
      <c r="B325" s="450"/>
      <c r="C325" s="71"/>
      <c r="D325" s="71"/>
      <c r="E325" s="71"/>
      <c r="F325" s="211"/>
      <c r="G325" s="211"/>
      <c r="H325" s="211"/>
      <c r="I325" s="211"/>
      <c r="J325" s="71"/>
      <c r="K325" s="71"/>
      <c r="L325" s="211"/>
      <c r="M325" s="71"/>
      <c r="N325" s="71"/>
      <c r="AC325"/>
      <c r="AD325"/>
      <c r="AE325"/>
      <c r="AF325" s="71"/>
      <c r="AG325" s="71"/>
      <c r="AH325"/>
      <c r="AI325"/>
      <c r="AJ325" s="235"/>
      <c r="AR325" s="211"/>
    </row>
    <row r="326" spans="2:44" x14ac:dyDescent="0.25">
      <c r="B326" s="450"/>
      <c r="C326" s="71"/>
      <c r="D326" s="71"/>
      <c r="E326" s="71"/>
      <c r="F326" s="211"/>
      <c r="G326" s="211"/>
      <c r="H326" s="211"/>
      <c r="I326" s="211"/>
      <c r="J326" s="71"/>
      <c r="K326" s="71"/>
      <c r="L326" s="211"/>
      <c r="M326" s="71"/>
      <c r="N326" s="71"/>
      <c r="AC326"/>
      <c r="AD326"/>
      <c r="AE326"/>
      <c r="AF326" s="71"/>
      <c r="AG326" s="71"/>
      <c r="AH326"/>
      <c r="AI326"/>
      <c r="AJ326" s="235"/>
      <c r="AR326" s="211"/>
    </row>
    <row r="327" spans="2:44" x14ac:dyDescent="0.25">
      <c r="B327" s="450"/>
      <c r="C327" s="71"/>
      <c r="D327" s="71"/>
      <c r="E327" s="71"/>
      <c r="F327" s="211"/>
      <c r="G327" s="211"/>
      <c r="H327" s="211"/>
      <c r="I327" s="211"/>
      <c r="J327" s="71"/>
      <c r="K327" s="71"/>
      <c r="L327" s="211"/>
      <c r="M327" s="71"/>
      <c r="N327" s="71"/>
      <c r="AC327"/>
      <c r="AD327"/>
      <c r="AE327"/>
      <c r="AF327" s="71"/>
      <c r="AG327" s="71"/>
      <c r="AH327"/>
      <c r="AI327"/>
      <c r="AJ327" s="235"/>
      <c r="AR327" s="211"/>
    </row>
    <row r="328" spans="2:44" x14ac:dyDescent="0.25">
      <c r="B328" s="450"/>
      <c r="C328" s="71"/>
      <c r="D328" s="71"/>
      <c r="E328" s="71"/>
      <c r="F328" s="211"/>
      <c r="G328" s="211"/>
      <c r="H328" s="211"/>
      <c r="I328" s="211"/>
      <c r="J328" s="71"/>
      <c r="K328" s="71"/>
      <c r="L328" s="211"/>
      <c r="M328" s="71"/>
      <c r="N328" s="71"/>
      <c r="AC328"/>
      <c r="AD328"/>
      <c r="AE328"/>
      <c r="AF328" s="71"/>
      <c r="AG328" s="71"/>
      <c r="AH328"/>
      <c r="AI328"/>
      <c r="AJ328" s="235"/>
      <c r="AR328" s="211"/>
    </row>
    <row r="329" spans="2:44" x14ac:dyDescent="0.25">
      <c r="B329" s="450"/>
      <c r="C329" s="71"/>
      <c r="D329" s="71"/>
      <c r="E329" s="71"/>
      <c r="F329" s="211"/>
      <c r="G329" s="211"/>
      <c r="H329" s="211"/>
      <c r="I329" s="211"/>
      <c r="J329" s="71"/>
      <c r="K329" s="71"/>
      <c r="L329" s="211"/>
      <c r="M329" s="71"/>
      <c r="N329" s="71"/>
      <c r="AC329"/>
      <c r="AD329"/>
      <c r="AE329"/>
      <c r="AF329" s="71"/>
      <c r="AG329" s="71"/>
      <c r="AH329"/>
      <c r="AI329"/>
      <c r="AJ329" s="235"/>
      <c r="AR329" s="211"/>
    </row>
    <row r="330" spans="2:44" x14ac:dyDescent="0.25">
      <c r="B330" s="450"/>
      <c r="C330" s="71"/>
      <c r="D330" s="71"/>
      <c r="E330" s="71"/>
      <c r="F330" s="211"/>
      <c r="G330" s="211"/>
      <c r="H330" s="211"/>
      <c r="I330" s="211"/>
      <c r="J330" s="71"/>
      <c r="K330" s="71"/>
      <c r="L330" s="211"/>
      <c r="M330" s="71"/>
      <c r="N330" s="71"/>
      <c r="AC330"/>
      <c r="AD330"/>
      <c r="AE330"/>
      <c r="AF330" s="71"/>
      <c r="AG330" s="71"/>
      <c r="AH330"/>
      <c r="AI330"/>
      <c r="AJ330" s="235"/>
      <c r="AR330" s="211"/>
    </row>
    <row r="331" spans="2:44" x14ac:dyDescent="0.25">
      <c r="B331" s="450"/>
      <c r="C331" s="71"/>
      <c r="D331" s="71"/>
      <c r="E331" s="71"/>
      <c r="F331" s="211"/>
      <c r="G331" s="211"/>
      <c r="H331" s="211"/>
      <c r="I331" s="211"/>
      <c r="J331" s="71"/>
      <c r="K331" s="71"/>
      <c r="L331" s="211"/>
      <c r="M331" s="71"/>
      <c r="N331" s="71"/>
      <c r="AC331"/>
      <c r="AD331"/>
      <c r="AE331"/>
      <c r="AF331" s="71"/>
      <c r="AG331" s="71"/>
      <c r="AH331"/>
      <c r="AI331"/>
      <c r="AJ331" s="235"/>
      <c r="AR331" s="211"/>
    </row>
    <row r="332" spans="2:44" x14ac:dyDescent="0.25">
      <c r="B332" s="450"/>
      <c r="C332" s="71"/>
      <c r="D332" s="71"/>
      <c r="E332" s="71"/>
      <c r="F332" s="211"/>
      <c r="G332" s="211"/>
      <c r="H332" s="211"/>
      <c r="I332" s="211"/>
      <c r="J332" s="71"/>
      <c r="K332" s="71"/>
      <c r="L332" s="211"/>
      <c r="M332" s="71"/>
      <c r="N332" s="71"/>
      <c r="AC332"/>
      <c r="AD332"/>
      <c r="AE332"/>
      <c r="AF332" s="71"/>
      <c r="AG332" s="71"/>
      <c r="AH332"/>
      <c r="AI332"/>
      <c r="AJ332" s="235"/>
      <c r="AR332" s="211"/>
    </row>
    <row r="333" spans="2:44" x14ac:dyDescent="0.25">
      <c r="B333" s="450"/>
      <c r="C333" s="71"/>
      <c r="D333" s="71"/>
      <c r="E333" s="71"/>
      <c r="F333" s="211"/>
      <c r="G333" s="211"/>
      <c r="H333" s="211"/>
      <c r="I333" s="211"/>
      <c r="J333" s="71"/>
      <c r="K333" s="71"/>
      <c r="L333" s="211"/>
      <c r="M333" s="71"/>
      <c r="N333" s="71"/>
      <c r="AC333"/>
      <c r="AD333"/>
      <c r="AE333"/>
      <c r="AF333" s="71"/>
      <c r="AG333" s="71"/>
      <c r="AH333"/>
      <c r="AI333"/>
      <c r="AJ333" s="235"/>
      <c r="AR333" s="211"/>
    </row>
    <row r="334" spans="2:44" x14ac:dyDescent="0.25">
      <c r="B334" s="450"/>
      <c r="C334" s="71"/>
      <c r="D334" s="71"/>
      <c r="E334" s="71"/>
      <c r="F334" s="211"/>
      <c r="G334" s="211"/>
      <c r="H334" s="211"/>
      <c r="I334" s="211"/>
      <c r="J334" s="71"/>
      <c r="K334" s="71"/>
      <c r="L334" s="211"/>
      <c r="M334" s="71"/>
      <c r="N334" s="71"/>
      <c r="AC334"/>
      <c r="AD334"/>
      <c r="AE334"/>
      <c r="AF334" s="71"/>
      <c r="AG334" s="71"/>
      <c r="AH334"/>
      <c r="AI334"/>
      <c r="AJ334" s="235"/>
      <c r="AR334" s="211"/>
    </row>
    <row r="335" spans="2:44" x14ac:dyDescent="0.25">
      <c r="B335" s="450"/>
      <c r="C335" s="71"/>
      <c r="D335" s="71"/>
      <c r="E335" s="71"/>
      <c r="F335" s="211"/>
      <c r="G335" s="211"/>
      <c r="H335" s="211"/>
      <c r="I335" s="211"/>
      <c r="J335" s="71"/>
      <c r="K335" s="71"/>
      <c r="L335" s="211"/>
      <c r="M335" s="71"/>
      <c r="N335" s="71"/>
      <c r="AC335"/>
      <c r="AD335"/>
      <c r="AE335"/>
      <c r="AF335" s="71"/>
      <c r="AG335" s="71"/>
      <c r="AH335"/>
      <c r="AI335"/>
      <c r="AJ335" s="235"/>
      <c r="AR335" s="211"/>
    </row>
    <row r="336" spans="2:44" x14ac:dyDescent="0.25">
      <c r="B336" s="450"/>
      <c r="C336" s="71"/>
      <c r="D336" s="71"/>
      <c r="E336" s="71"/>
      <c r="F336" s="211"/>
      <c r="G336" s="211"/>
      <c r="H336" s="211"/>
      <c r="I336" s="211"/>
      <c r="J336" s="71"/>
      <c r="K336" s="71"/>
      <c r="L336" s="211"/>
      <c r="M336" s="71"/>
      <c r="N336" s="71"/>
      <c r="AC336"/>
      <c r="AD336"/>
      <c r="AE336"/>
      <c r="AF336" s="71"/>
      <c r="AG336" s="71"/>
      <c r="AH336"/>
      <c r="AI336"/>
      <c r="AJ336" s="235"/>
      <c r="AR336" s="211"/>
    </row>
    <row r="337" spans="2:44" x14ac:dyDescent="0.25">
      <c r="B337" s="450"/>
      <c r="C337" s="71"/>
      <c r="D337" s="71"/>
      <c r="E337" s="71"/>
      <c r="F337" s="211"/>
      <c r="G337" s="211"/>
      <c r="H337" s="211"/>
      <c r="I337" s="211"/>
      <c r="J337" s="71"/>
      <c r="K337" s="71"/>
      <c r="L337" s="211"/>
      <c r="M337" s="71"/>
      <c r="N337" s="71"/>
      <c r="AC337"/>
      <c r="AD337"/>
      <c r="AE337"/>
      <c r="AF337" s="71"/>
      <c r="AG337" s="71"/>
      <c r="AH337"/>
      <c r="AI337"/>
      <c r="AJ337" s="235"/>
      <c r="AR337" s="211"/>
    </row>
    <row r="338" spans="2:44" x14ac:dyDescent="0.25">
      <c r="B338" s="450"/>
      <c r="C338" s="71"/>
      <c r="D338" s="71"/>
      <c r="E338" s="71"/>
      <c r="F338" s="211"/>
      <c r="G338" s="211"/>
      <c r="H338" s="211"/>
      <c r="I338" s="211"/>
      <c r="J338" s="71"/>
      <c r="K338" s="71"/>
      <c r="L338" s="211"/>
      <c r="M338" s="71"/>
      <c r="N338" s="71"/>
      <c r="AC338"/>
      <c r="AD338"/>
      <c r="AE338"/>
      <c r="AF338" s="71"/>
      <c r="AG338" s="71"/>
      <c r="AH338"/>
      <c r="AI338"/>
      <c r="AJ338" s="235"/>
      <c r="AR338" s="211"/>
    </row>
    <row r="339" spans="2:44" x14ac:dyDescent="0.25">
      <c r="B339" s="450"/>
      <c r="C339" s="71"/>
      <c r="D339" s="71"/>
      <c r="E339" s="71"/>
      <c r="F339" s="211"/>
      <c r="G339" s="211"/>
      <c r="H339" s="211"/>
      <c r="I339" s="211"/>
      <c r="J339" s="71"/>
      <c r="K339" s="71"/>
      <c r="L339" s="211"/>
      <c r="M339" s="71"/>
      <c r="N339" s="71"/>
      <c r="AC339"/>
      <c r="AD339"/>
      <c r="AE339"/>
      <c r="AF339" s="71"/>
      <c r="AG339" s="71"/>
      <c r="AH339"/>
      <c r="AI339"/>
      <c r="AJ339" s="235"/>
      <c r="AR339" s="211"/>
    </row>
    <row r="340" spans="2:44" x14ac:dyDescent="0.25">
      <c r="B340" s="450"/>
      <c r="C340" s="71"/>
      <c r="D340" s="71"/>
      <c r="E340" s="71"/>
      <c r="F340" s="211"/>
      <c r="G340" s="211"/>
      <c r="H340" s="211"/>
      <c r="I340" s="211"/>
      <c r="J340" s="71"/>
      <c r="K340" s="71"/>
      <c r="L340" s="211"/>
      <c r="M340" s="71"/>
      <c r="N340" s="71"/>
      <c r="AC340"/>
      <c r="AD340"/>
      <c r="AE340"/>
      <c r="AF340" s="71"/>
      <c r="AG340" s="71"/>
      <c r="AH340"/>
      <c r="AI340"/>
      <c r="AJ340" s="235"/>
      <c r="AR340" s="211"/>
    </row>
    <row r="341" spans="2:44" x14ac:dyDescent="0.25">
      <c r="B341" s="450"/>
      <c r="C341" s="71"/>
      <c r="D341" s="71"/>
      <c r="E341" s="71"/>
      <c r="F341" s="211"/>
      <c r="G341" s="211"/>
      <c r="H341" s="211"/>
      <c r="I341" s="211"/>
      <c r="J341" s="71"/>
      <c r="K341" s="71"/>
      <c r="L341" s="211"/>
      <c r="M341" s="71"/>
      <c r="N341" s="71"/>
      <c r="AC341"/>
      <c r="AD341"/>
      <c r="AE341"/>
      <c r="AF341" s="71"/>
      <c r="AG341" s="71"/>
      <c r="AH341"/>
      <c r="AI341"/>
      <c r="AJ341" s="235"/>
      <c r="AR341" s="211"/>
    </row>
    <row r="342" spans="2:44" x14ac:dyDescent="0.25">
      <c r="B342" s="450"/>
      <c r="C342" s="71"/>
      <c r="D342" s="71"/>
      <c r="E342" s="71"/>
      <c r="F342" s="211"/>
      <c r="G342" s="211"/>
      <c r="H342" s="211"/>
      <c r="I342" s="211"/>
      <c r="J342" s="71"/>
      <c r="K342" s="71"/>
      <c r="L342" s="211"/>
      <c r="M342" s="71"/>
      <c r="N342" s="71"/>
      <c r="AC342"/>
      <c r="AD342"/>
      <c r="AE342"/>
      <c r="AF342" s="71"/>
      <c r="AG342" s="71"/>
      <c r="AH342"/>
      <c r="AI342"/>
      <c r="AJ342" s="235"/>
      <c r="AR342" s="211"/>
    </row>
    <row r="343" spans="2:44" x14ac:dyDescent="0.25">
      <c r="B343" s="450"/>
      <c r="C343" s="71"/>
      <c r="D343" s="71"/>
      <c r="E343" s="71"/>
      <c r="F343" s="211"/>
      <c r="G343" s="211"/>
      <c r="H343" s="211"/>
      <c r="I343" s="211"/>
      <c r="J343" s="71"/>
      <c r="K343" s="71"/>
      <c r="L343" s="211"/>
      <c r="M343" s="71"/>
      <c r="N343" s="71"/>
      <c r="AC343"/>
      <c r="AD343"/>
      <c r="AE343"/>
      <c r="AF343" s="71"/>
      <c r="AG343" s="71"/>
      <c r="AH343"/>
      <c r="AI343"/>
      <c r="AJ343" s="235"/>
      <c r="AR343" s="211"/>
    </row>
    <row r="344" spans="2:44" x14ac:dyDescent="0.25">
      <c r="B344" s="450"/>
      <c r="C344" s="71"/>
      <c r="D344" s="71"/>
      <c r="E344" s="71"/>
      <c r="F344" s="211"/>
      <c r="G344" s="211"/>
      <c r="H344" s="211"/>
      <c r="I344" s="211"/>
      <c r="J344" s="71"/>
      <c r="K344" s="71"/>
      <c r="L344" s="211"/>
      <c r="M344" s="71"/>
      <c r="N344" s="71"/>
      <c r="AC344"/>
      <c r="AD344"/>
      <c r="AE344"/>
      <c r="AF344" s="71"/>
      <c r="AG344" s="71"/>
      <c r="AH344"/>
      <c r="AI344"/>
      <c r="AJ344" s="235"/>
      <c r="AR344" s="211"/>
    </row>
    <row r="345" spans="2:44" x14ac:dyDescent="0.25">
      <c r="AC345"/>
      <c r="AD345"/>
      <c r="AE345"/>
      <c r="AF345" s="71"/>
      <c r="AG345" s="71"/>
      <c r="AH345"/>
      <c r="AI345"/>
      <c r="AJ345" s="235"/>
      <c r="AR345" s="211"/>
    </row>
    <row r="346" spans="2:44" x14ac:dyDescent="0.25">
      <c r="AC346"/>
      <c r="AD346"/>
      <c r="AE346"/>
      <c r="AF346" s="71"/>
      <c r="AG346" s="71"/>
      <c r="AH346"/>
      <c r="AI346"/>
      <c r="AJ346" s="235"/>
      <c r="AR346" s="379"/>
    </row>
    <row r="347" spans="2:44" x14ac:dyDescent="0.25">
      <c r="AC347"/>
      <c r="AD347"/>
      <c r="AE347"/>
      <c r="AF347" s="71"/>
      <c r="AG347" s="71"/>
      <c r="AH347"/>
      <c r="AI347"/>
      <c r="AJ347" s="235"/>
    </row>
    <row r="348" spans="2:44" x14ac:dyDescent="0.25">
      <c r="AC348"/>
      <c r="AD348"/>
      <c r="AE348"/>
      <c r="AF348" s="71"/>
      <c r="AG348" s="71"/>
      <c r="AH348"/>
      <c r="AI348"/>
      <c r="AJ348" s="235"/>
    </row>
    <row r="349" spans="2:44" x14ac:dyDescent="0.25">
      <c r="AC349"/>
      <c r="AD349"/>
      <c r="AE349"/>
      <c r="AF349" s="71"/>
      <c r="AG349" s="71"/>
      <c r="AH349"/>
      <c r="AI349"/>
      <c r="AJ349" s="235"/>
    </row>
  </sheetData>
  <phoneticPr fontId="48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CP467"/>
  <sheetViews>
    <sheetView zoomScale="112" zoomScaleNormal="112" zoomScaleSheetLayoutView="100" workbookViewId="0">
      <pane xSplit="2" ySplit="1" topLeftCell="BR20" activePane="bottomRight" state="frozen"/>
      <selection activeCell="AD101" sqref="AD101"/>
      <selection pane="topRight" activeCell="AD101" sqref="AD101"/>
      <selection pane="bottomLeft" activeCell="AD101" sqref="AD101"/>
      <selection pane="bottomRight" activeCell="BV21" sqref="BV21:BV22"/>
    </sheetView>
  </sheetViews>
  <sheetFormatPr defaultRowHeight="15" x14ac:dyDescent="0.25"/>
  <cols>
    <col min="2" max="2" width="58.5703125" style="451" customWidth="1"/>
    <col min="3" max="5" width="17.28515625" style="1" customWidth="1"/>
    <col min="6" max="9" width="16.7109375" style="1" customWidth="1"/>
    <col min="10" max="10" width="17.140625" style="1" customWidth="1"/>
    <col min="11" max="11" width="19.7109375" style="1" customWidth="1"/>
    <col min="12" max="12" width="18.5703125" style="1" customWidth="1"/>
    <col min="13" max="13" width="11.5703125" style="1" customWidth="1"/>
    <col min="14" max="14" width="12.42578125" customWidth="1"/>
    <col min="15" max="15" width="24.5703125" style="1" customWidth="1"/>
    <col min="16" max="16" width="29.7109375" style="1" customWidth="1"/>
    <col min="17" max="18" width="20" style="1" customWidth="1"/>
    <col min="19" max="19" width="18.5703125" style="1" customWidth="1"/>
    <col min="20" max="20" width="22.85546875" customWidth="1"/>
    <col min="21" max="21" width="26.5703125" customWidth="1"/>
    <col min="22" max="23" width="16.140625" style="1" customWidth="1"/>
    <col min="24" max="24" width="15.5703125" style="1" customWidth="1"/>
    <col min="25" max="25" width="2.140625" style="1" customWidth="1"/>
    <col min="26" max="26" width="10.42578125" style="1" customWidth="1"/>
    <col min="27" max="27" width="26" customWidth="1"/>
    <col min="28" max="28" width="19.7109375" style="1" customWidth="1"/>
    <col min="29" max="30" width="18.28515625" style="1" customWidth="1"/>
    <col min="31" max="31" width="20.5703125" style="1" customWidth="1"/>
    <col min="32" max="32" width="16" style="1" customWidth="1"/>
    <col min="33" max="33" width="15.5703125" style="14" customWidth="1"/>
    <col min="34" max="34" width="19.28515625" style="55" customWidth="1"/>
    <col min="35" max="35" width="26.140625" style="63" customWidth="1"/>
    <col min="36" max="36" width="24.28515625" customWidth="1"/>
    <col min="37" max="37" width="16.5703125" customWidth="1"/>
    <col min="38" max="38" width="9.140625" customWidth="1"/>
    <col min="39" max="41" width="24.42578125" customWidth="1"/>
    <col min="42" max="42" width="21.42578125" style="681" customWidth="1"/>
    <col min="43" max="43" width="18.5703125" style="382" customWidth="1"/>
    <col min="44" max="44" width="16.7109375" style="54" customWidth="1"/>
    <col min="45" max="45" width="16.5703125" style="54" customWidth="1"/>
    <col min="46" max="46" width="16.5703125" style="55" customWidth="1"/>
    <col min="47" max="47" width="17.42578125" style="54" customWidth="1"/>
    <col min="48" max="48" width="17" style="54" customWidth="1"/>
    <col min="49" max="49" width="21.42578125" style="681" customWidth="1"/>
    <col min="50" max="50" width="18.140625" style="1" customWidth="1"/>
    <col min="51" max="51" width="16.85546875" customWidth="1"/>
    <col min="52" max="52" width="17.28515625" customWidth="1"/>
    <col min="53" max="53" width="17" customWidth="1"/>
    <col min="54" max="54" width="19.140625" style="506" customWidth="1"/>
    <col min="55" max="55" width="19.7109375" style="501" customWidth="1"/>
    <col min="56" max="56" width="19.28515625" style="501" customWidth="1"/>
    <col min="57" max="57" width="19.42578125" style="506" customWidth="1"/>
    <col min="58" max="58" width="16.5703125" style="1" customWidth="1"/>
    <col min="59" max="59" width="15.42578125" style="387" customWidth="1"/>
    <col min="60" max="60" width="15.42578125" style="65" customWidth="1"/>
    <col min="61" max="61" width="18.85546875" style="211" customWidth="1"/>
    <col min="62" max="62" width="16.28515625" style="1" hidden="1" customWidth="1"/>
    <col min="63" max="63" width="18.85546875" style="14" customWidth="1"/>
    <col min="64" max="64" width="18.7109375" customWidth="1"/>
    <col min="65" max="66" width="17.28515625" style="1" customWidth="1"/>
    <col min="67" max="67" width="17" style="1" bestFit="1" customWidth="1"/>
    <col min="68" max="68" width="17" style="1" customWidth="1"/>
    <col min="69" max="69" width="18.42578125" customWidth="1"/>
    <col min="70" max="70" width="18" style="1" customWidth="1"/>
    <col min="71" max="71" width="18.28515625" customWidth="1"/>
    <col min="72" max="72" width="16.7109375" customWidth="1"/>
    <col min="73" max="73" width="14.5703125" style="729" customWidth="1"/>
    <col min="74" max="74" width="15.85546875" style="729" customWidth="1"/>
  </cols>
  <sheetData>
    <row r="1" spans="1:74" ht="60.75" customHeight="1" x14ac:dyDescent="0.25">
      <c r="A1" s="54"/>
      <c r="B1" s="670" t="s">
        <v>321</v>
      </c>
      <c r="C1" s="55" t="s">
        <v>0</v>
      </c>
      <c r="D1" s="55" t="s">
        <v>1</v>
      </c>
      <c r="E1" s="55" t="s">
        <v>6</v>
      </c>
      <c r="F1" s="56" t="s">
        <v>205</v>
      </c>
      <c r="G1" s="57" t="s">
        <v>225</v>
      </c>
      <c r="H1" s="56" t="s">
        <v>224</v>
      </c>
      <c r="I1" s="56" t="s">
        <v>313</v>
      </c>
      <c r="J1" s="55" t="s">
        <v>311</v>
      </c>
      <c r="K1" s="55" t="s">
        <v>312</v>
      </c>
      <c r="L1" s="55" t="s">
        <v>317</v>
      </c>
      <c r="M1" s="55"/>
      <c r="N1" s="54"/>
      <c r="O1" s="55" t="s">
        <v>324</v>
      </c>
      <c r="P1" s="55" t="s">
        <v>325</v>
      </c>
      <c r="Q1" s="55" t="s">
        <v>343</v>
      </c>
      <c r="R1" s="65" t="s">
        <v>346</v>
      </c>
      <c r="S1" s="65" t="s">
        <v>379</v>
      </c>
      <c r="T1" s="65" t="s">
        <v>378</v>
      </c>
      <c r="U1" s="65" t="s">
        <v>377</v>
      </c>
      <c r="V1" s="60" t="s">
        <v>399</v>
      </c>
      <c r="W1" s="60" t="s">
        <v>400</v>
      </c>
      <c r="X1" s="121" t="s">
        <v>401</v>
      </c>
      <c r="Z1" s="1" t="s">
        <v>407</v>
      </c>
      <c r="AA1" s="649" t="s">
        <v>425</v>
      </c>
      <c r="AB1" s="65" t="s">
        <v>438</v>
      </c>
      <c r="AC1" s="65" t="s">
        <v>439</v>
      </c>
      <c r="AD1" s="55" t="s">
        <v>471</v>
      </c>
      <c r="AE1" s="67" t="s">
        <v>470</v>
      </c>
      <c r="AF1" s="198" t="s">
        <v>492</v>
      </c>
      <c r="AG1" s="263" t="s">
        <v>480</v>
      </c>
      <c r="AH1" s="55" t="s">
        <v>500</v>
      </c>
      <c r="AI1" s="63" t="s">
        <v>518</v>
      </c>
      <c r="AK1" s="93" t="s">
        <v>535</v>
      </c>
      <c r="AM1" s="345" t="s">
        <v>544</v>
      </c>
      <c r="AN1" s="674"/>
      <c r="AO1" s="674"/>
      <c r="AP1" s="404" t="s">
        <v>558</v>
      </c>
      <c r="AQ1" s="404" t="s">
        <v>557</v>
      </c>
      <c r="AR1" s="402" t="s">
        <v>560</v>
      </c>
      <c r="AS1" s="402" t="s">
        <v>561</v>
      </c>
      <c r="AT1" s="427" t="s">
        <v>566</v>
      </c>
      <c r="AU1" s="427" t="s">
        <v>568</v>
      </c>
      <c r="AV1" s="427" t="s">
        <v>569</v>
      </c>
      <c r="AW1" s="428" t="s">
        <v>567</v>
      </c>
      <c r="AX1" s="675" t="s">
        <v>570</v>
      </c>
      <c r="AY1" s="427" t="s">
        <v>592</v>
      </c>
      <c r="AZ1" s="54" t="s">
        <v>602</v>
      </c>
      <c r="BA1" s="259" t="s">
        <v>603</v>
      </c>
      <c r="BB1" s="504" t="s">
        <v>610</v>
      </c>
      <c r="BC1" s="500" t="s">
        <v>606</v>
      </c>
      <c r="BD1" s="500" t="s">
        <v>607</v>
      </c>
      <c r="BE1" s="500" t="s">
        <v>609</v>
      </c>
      <c r="BF1" s="512" t="s">
        <v>611</v>
      </c>
      <c r="BG1" s="527" t="s">
        <v>614</v>
      </c>
      <c r="BH1" s="528" t="s">
        <v>615</v>
      </c>
      <c r="BI1" s="528" t="s">
        <v>647</v>
      </c>
      <c r="BJ1" s="570" t="s">
        <v>641</v>
      </c>
      <c r="BK1" s="570" t="s">
        <v>654</v>
      </c>
      <c r="BL1" s="676" t="s">
        <v>653</v>
      </c>
      <c r="BM1" s="677" t="s">
        <v>688</v>
      </c>
      <c r="BN1" s="659" t="s">
        <v>706</v>
      </c>
      <c r="BO1" s="660" t="s">
        <v>697</v>
      </c>
      <c r="BP1" s="660" t="s">
        <v>699</v>
      </c>
      <c r="BQ1" s="660" t="s">
        <v>698</v>
      </c>
      <c r="BR1" s="660" t="s">
        <v>716</v>
      </c>
      <c r="BS1" s="660" t="s">
        <v>724</v>
      </c>
      <c r="BT1" s="710" t="s">
        <v>753</v>
      </c>
      <c r="BU1" s="822" t="s">
        <v>734</v>
      </c>
      <c r="BV1" s="858" t="s">
        <v>767</v>
      </c>
    </row>
    <row r="2" spans="1:74" x14ac:dyDescent="0.25">
      <c r="A2" s="54" t="s">
        <v>8</v>
      </c>
      <c r="B2" s="446" t="s">
        <v>175</v>
      </c>
      <c r="C2" s="55">
        <v>0</v>
      </c>
      <c r="D2" s="55">
        <v>0</v>
      </c>
      <c r="E2" s="55">
        <v>0</v>
      </c>
      <c r="F2" s="55"/>
      <c r="G2" s="55"/>
      <c r="H2" s="55"/>
      <c r="I2" s="55">
        <f>H2/11+H2</f>
        <v>0</v>
      </c>
      <c r="J2" s="55">
        <v>0</v>
      </c>
      <c r="K2" s="55">
        <v>0</v>
      </c>
      <c r="L2" s="55">
        <v>0</v>
      </c>
      <c r="M2" s="55">
        <f>IF(I2&lt;&gt;0,L2/I2*100,0)</f>
        <v>0</v>
      </c>
      <c r="N2" s="54"/>
      <c r="O2" s="55"/>
      <c r="P2" s="55"/>
      <c r="Q2" s="55"/>
      <c r="R2" s="55"/>
      <c r="S2" s="55"/>
      <c r="T2" s="55"/>
      <c r="U2" s="54"/>
      <c r="V2" s="55">
        <f>U2</f>
        <v>0</v>
      </c>
      <c r="W2" s="55">
        <f>U2</f>
        <v>0</v>
      </c>
      <c r="X2" s="55"/>
      <c r="Z2" s="140" t="e">
        <f t="shared" ref="Z2:Z39" si="0">W2/T2</f>
        <v>#DIV/0!</v>
      </c>
      <c r="AA2" s="69">
        <f>W2</f>
        <v>0</v>
      </c>
      <c r="AB2" s="55"/>
      <c r="AC2" s="55"/>
      <c r="AD2" s="55"/>
      <c r="AE2" s="55"/>
      <c r="AF2" s="55"/>
      <c r="AG2" s="222"/>
      <c r="AH2" s="55">
        <f>AG2/10*12</f>
        <v>0</v>
      </c>
      <c r="AI2" s="63">
        <f t="shared" ref="AI2:AI55" si="1">AH2*1.02</f>
        <v>0</v>
      </c>
      <c r="AJ2" s="52"/>
      <c r="AK2" s="69">
        <f>AI2</f>
        <v>0</v>
      </c>
      <c r="AM2" s="54"/>
      <c r="AN2" s="259"/>
      <c r="AO2" s="259"/>
      <c r="AP2" s="382"/>
      <c r="AT2" s="65"/>
      <c r="AW2" s="382"/>
      <c r="AX2" s="65"/>
      <c r="AY2" s="69">
        <f>AX2</f>
        <v>0</v>
      </c>
      <c r="AZ2" s="54"/>
      <c r="BA2" s="259"/>
      <c r="BB2" s="501"/>
      <c r="BE2" s="501"/>
      <c r="BF2" s="221"/>
      <c r="BI2" s="65"/>
      <c r="BJ2" s="55"/>
      <c r="BK2" s="65"/>
      <c r="BL2" s="69">
        <f>BK2/10*12</f>
        <v>0</v>
      </c>
      <c r="BM2" s="55"/>
      <c r="BN2" s="55"/>
      <c r="BO2" s="55"/>
      <c r="BP2" s="55"/>
      <c r="BQ2" s="54"/>
      <c r="BR2" s="55"/>
      <c r="BS2" s="55"/>
      <c r="BT2" s="55"/>
      <c r="BU2" s="353"/>
      <c r="BV2" s="347"/>
    </row>
    <row r="3" spans="1:74" x14ac:dyDescent="0.25">
      <c r="A3" s="54" t="s">
        <v>9</v>
      </c>
      <c r="B3" s="446" t="s">
        <v>176</v>
      </c>
      <c r="C3" s="55">
        <v>0</v>
      </c>
      <c r="D3" s="55">
        <v>0</v>
      </c>
      <c r="E3" s="55">
        <v>0</v>
      </c>
      <c r="F3" s="55"/>
      <c r="G3" s="55"/>
      <c r="H3" s="55"/>
      <c r="I3" s="55">
        <f t="shared" ref="I3:I77" si="2">H3/11+H3</f>
        <v>0</v>
      </c>
      <c r="J3" s="55">
        <v>0</v>
      </c>
      <c r="K3" s="55">
        <v>0</v>
      </c>
      <c r="L3" s="55">
        <v>0</v>
      </c>
      <c r="M3" s="55">
        <f t="shared" ref="M3:M77" si="3">IF(I3&lt;&gt;0,L3/I3*100,0)</f>
        <v>0</v>
      </c>
      <c r="N3" s="54"/>
      <c r="O3" s="55"/>
      <c r="P3" s="55"/>
      <c r="Q3" s="55"/>
      <c r="R3" s="55"/>
      <c r="S3" s="55"/>
      <c r="T3" s="55"/>
      <c r="U3" s="54"/>
      <c r="V3" s="55">
        <f t="shared" ref="V3:V76" si="4">U3</f>
        <v>0</v>
      </c>
      <c r="W3" s="55">
        <f t="shared" ref="W3:W76" si="5">U3</f>
        <v>0</v>
      </c>
      <c r="X3" s="55"/>
      <c r="Z3" s="140" t="e">
        <f t="shared" si="0"/>
        <v>#DIV/0!</v>
      </c>
      <c r="AA3" s="69">
        <f t="shared" ref="AA3:AA76" si="6">W3</f>
        <v>0</v>
      </c>
      <c r="AB3" s="55"/>
      <c r="AC3" s="55"/>
      <c r="AD3" s="55"/>
      <c r="AE3" s="55"/>
      <c r="AF3" s="55"/>
      <c r="AG3" s="222"/>
      <c r="AH3" s="55">
        <f t="shared" ref="AH3:AH71" si="7">AG3/10*12</f>
        <v>0</v>
      </c>
      <c r="AI3" s="63">
        <f t="shared" si="1"/>
        <v>0</v>
      </c>
      <c r="AJ3" s="52"/>
      <c r="AK3" s="69">
        <f t="shared" ref="AK3:AK71" si="8">AI3</f>
        <v>0</v>
      </c>
      <c r="AM3" s="54"/>
      <c r="AN3" s="259"/>
      <c r="AO3" s="259"/>
      <c r="AP3" s="382"/>
      <c r="AT3" s="65"/>
      <c r="AW3" s="382"/>
      <c r="AX3" s="65"/>
      <c r="AY3" s="69">
        <f t="shared" ref="AY3:AY70" si="9">AX3</f>
        <v>0</v>
      </c>
      <c r="AZ3" s="54"/>
      <c r="BA3" s="259"/>
      <c r="BB3" s="501"/>
      <c r="BE3" s="501"/>
      <c r="BF3" s="221"/>
      <c r="BI3" s="65"/>
      <c r="BJ3" s="55"/>
      <c r="BK3" s="65"/>
      <c r="BL3" s="69">
        <f t="shared" ref="BL3:BL70" si="10">BK3/10*12</f>
        <v>0</v>
      </c>
      <c r="BM3" s="55"/>
      <c r="BN3" s="55"/>
      <c r="BO3" s="55"/>
      <c r="BP3" s="55"/>
      <c r="BQ3" s="54"/>
      <c r="BR3" s="55"/>
      <c r="BS3" s="55"/>
      <c r="BT3" s="55"/>
      <c r="BU3" s="353"/>
      <c r="BV3" s="347"/>
    </row>
    <row r="4" spans="1:74" x14ac:dyDescent="0.25">
      <c r="A4" s="54" t="s">
        <v>584</v>
      </c>
      <c r="B4" s="446" t="s">
        <v>586</v>
      </c>
      <c r="C4" s="55">
        <v>0</v>
      </c>
      <c r="D4" s="55">
        <v>0</v>
      </c>
      <c r="E4" s="55">
        <v>0</v>
      </c>
      <c r="F4" s="55"/>
      <c r="G4" s="55"/>
      <c r="H4" s="55"/>
      <c r="I4" s="55">
        <f t="shared" si="2"/>
        <v>0</v>
      </c>
      <c r="J4" s="55">
        <v>0</v>
      </c>
      <c r="K4" s="55">
        <v>0</v>
      </c>
      <c r="L4" s="55">
        <v>0</v>
      </c>
      <c r="M4" s="55">
        <f t="shared" si="3"/>
        <v>0</v>
      </c>
      <c r="N4" s="54"/>
      <c r="O4" s="55"/>
      <c r="P4" s="55"/>
      <c r="Q4" s="55"/>
      <c r="R4" s="55"/>
      <c r="S4" s="55"/>
      <c r="T4" s="55"/>
      <c r="U4" s="54"/>
      <c r="V4" s="55">
        <f t="shared" si="4"/>
        <v>0</v>
      </c>
      <c r="W4" s="55">
        <f t="shared" si="5"/>
        <v>0</v>
      </c>
      <c r="X4" s="55"/>
      <c r="Z4" s="140" t="e">
        <f t="shared" si="0"/>
        <v>#DIV/0!</v>
      </c>
      <c r="AA4" s="69">
        <f t="shared" si="6"/>
        <v>0</v>
      </c>
      <c r="AB4" s="55"/>
      <c r="AC4" s="55"/>
      <c r="AD4" s="55"/>
      <c r="AE4" s="55"/>
      <c r="AF4" s="55"/>
      <c r="AG4" s="222"/>
      <c r="AH4" s="55">
        <f t="shared" si="7"/>
        <v>0</v>
      </c>
      <c r="AI4" s="63">
        <f t="shared" si="1"/>
        <v>0</v>
      </c>
      <c r="AJ4" s="52"/>
      <c r="AK4" s="69">
        <f t="shared" si="8"/>
        <v>0</v>
      </c>
      <c r="AM4" s="54"/>
      <c r="AN4" s="259"/>
      <c r="AO4" s="259"/>
      <c r="AP4" s="382"/>
      <c r="AT4" s="65"/>
      <c r="AW4" s="382"/>
      <c r="AX4" s="65"/>
      <c r="AY4" s="69">
        <f t="shared" si="9"/>
        <v>0</v>
      </c>
      <c r="AZ4" s="69">
        <f t="shared" ref="AZ4:AZ36" si="11">AY4</f>
        <v>0</v>
      </c>
      <c r="BA4" s="258">
        <f t="shared" ref="BA4:BA36" si="12">AZ4</f>
        <v>0</v>
      </c>
      <c r="BB4" s="501"/>
      <c r="BE4" s="501"/>
      <c r="BF4" s="221"/>
      <c r="BI4" s="65"/>
      <c r="BJ4" s="55"/>
      <c r="BK4" s="65"/>
      <c r="BL4" s="69">
        <f t="shared" si="10"/>
        <v>0</v>
      </c>
      <c r="BM4" s="55"/>
      <c r="BN4" s="55"/>
      <c r="BO4" s="55"/>
      <c r="BP4" s="55"/>
      <c r="BQ4" s="54"/>
      <c r="BR4" s="55"/>
      <c r="BS4" s="55"/>
      <c r="BT4" s="55"/>
      <c r="BU4" s="353"/>
      <c r="BV4" s="347"/>
    </row>
    <row r="5" spans="1:74" x14ac:dyDescent="0.25">
      <c r="A5" s="54" t="s">
        <v>585</v>
      </c>
      <c r="B5" s="446" t="s">
        <v>177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4"/>
      <c r="O5" s="55"/>
      <c r="P5" s="55"/>
      <c r="Q5" s="55"/>
      <c r="R5" s="55"/>
      <c r="S5" s="55"/>
      <c r="T5" s="55"/>
      <c r="U5" s="54"/>
      <c r="V5" s="55"/>
      <c r="W5" s="55"/>
      <c r="X5" s="55"/>
      <c r="Z5" s="140"/>
      <c r="AA5" s="69"/>
      <c r="AB5" s="55"/>
      <c r="AC5" s="55"/>
      <c r="AD5" s="55"/>
      <c r="AE5" s="55"/>
      <c r="AF5" s="55"/>
      <c r="AG5" s="222"/>
      <c r="AJ5" s="52"/>
      <c r="AK5" s="69"/>
      <c r="AM5" s="54"/>
      <c r="AN5" s="259"/>
      <c r="AO5" s="259"/>
      <c r="AP5" s="382"/>
      <c r="AT5" s="65"/>
      <c r="AW5" s="382"/>
      <c r="AX5" s="65"/>
      <c r="AY5" s="69">
        <f t="shared" ref="AY5:AY36" si="13">AX5</f>
        <v>0</v>
      </c>
      <c r="AZ5" s="69">
        <f t="shared" si="11"/>
        <v>0</v>
      </c>
      <c r="BA5" s="258">
        <f t="shared" si="12"/>
        <v>0</v>
      </c>
      <c r="BB5" s="501"/>
      <c r="BE5" s="501"/>
      <c r="BF5" s="221"/>
      <c r="BI5" s="65"/>
      <c r="BJ5" s="55"/>
      <c r="BK5" s="65"/>
      <c r="BL5" s="69">
        <f t="shared" si="10"/>
        <v>0</v>
      </c>
      <c r="BM5" s="55"/>
      <c r="BN5" s="55"/>
      <c r="BO5" s="55"/>
      <c r="BP5" s="55"/>
      <c r="BQ5" s="54"/>
      <c r="BR5" s="55"/>
      <c r="BS5" s="55"/>
      <c r="BT5" s="55"/>
      <c r="BU5" s="353"/>
      <c r="BV5" s="347"/>
    </row>
    <row r="6" spans="1:74" x14ac:dyDescent="0.25">
      <c r="A6" s="54" t="s">
        <v>10</v>
      </c>
      <c r="B6" s="446" t="s">
        <v>178</v>
      </c>
      <c r="C6" s="55">
        <v>0</v>
      </c>
      <c r="D6" s="55">
        <v>0</v>
      </c>
      <c r="E6" s="55">
        <v>0</v>
      </c>
      <c r="F6" s="55"/>
      <c r="G6" s="55"/>
      <c r="H6" s="55"/>
      <c r="I6" s="55">
        <f t="shared" si="2"/>
        <v>0</v>
      </c>
      <c r="J6" s="55">
        <v>0</v>
      </c>
      <c r="K6" s="55">
        <v>0</v>
      </c>
      <c r="L6" s="55">
        <v>0</v>
      </c>
      <c r="M6" s="55">
        <f t="shared" si="3"/>
        <v>0</v>
      </c>
      <c r="N6" s="54"/>
      <c r="O6" s="55"/>
      <c r="P6" s="55"/>
      <c r="Q6" s="55"/>
      <c r="R6" s="55"/>
      <c r="S6" s="55"/>
      <c r="T6" s="55"/>
      <c r="U6" s="54"/>
      <c r="V6" s="55">
        <f t="shared" si="4"/>
        <v>0</v>
      </c>
      <c r="W6" s="55">
        <f t="shared" si="5"/>
        <v>0</v>
      </c>
      <c r="X6" s="55"/>
      <c r="Z6" s="140" t="e">
        <f t="shared" si="0"/>
        <v>#DIV/0!</v>
      </c>
      <c r="AA6" s="69">
        <f t="shared" si="6"/>
        <v>0</v>
      </c>
      <c r="AB6" s="55"/>
      <c r="AC6" s="55"/>
      <c r="AD6" s="55"/>
      <c r="AE6" s="55"/>
      <c r="AF6" s="55"/>
      <c r="AG6" s="222"/>
      <c r="AH6" s="55">
        <f t="shared" si="7"/>
        <v>0</v>
      </c>
      <c r="AI6" s="63">
        <f t="shared" si="1"/>
        <v>0</v>
      </c>
      <c r="AJ6" s="52"/>
      <c r="AK6" s="69">
        <f t="shared" si="8"/>
        <v>0</v>
      </c>
      <c r="AM6" s="54"/>
      <c r="AN6" s="259"/>
      <c r="AO6" s="259"/>
      <c r="AP6" s="382"/>
      <c r="AT6" s="65"/>
      <c r="AW6" s="382"/>
      <c r="AX6" s="65"/>
      <c r="AY6" s="69">
        <f t="shared" si="13"/>
        <v>0</v>
      </c>
      <c r="AZ6" s="69">
        <f t="shared" si="11"/>
        <v>0</v>
      </c>
      <c r="BA6" s="258">
        <f t="shared" si="12"/>
        <v>0</v>
      </c>
      <c r="BB6" s="501"/>
      <c r="BE6" s="501"/>
      <c r="BF6" s="221"/>
      <c r="BI6" s="65"/>
      <c r="BJ6" s="55"/>
      <c r="BK6" s="65"/>
      <c r="BL6" s="69">
        <f t="shared" si="10"/>
        <v>0</v>
      </c>
      <c r="BM6" s="55"/>
      <c r="BN6" s="55"/>
      <c r="BO6" s="55"/>
      <c r="BP6" s="55"/>
      <c r="BQ6" s="54"/>
      <c r="BR6" s="55"/>
      <c r="BS6" s="55"/>
      <c r="BT6" s="55"/>
      <c r="BU6" s="353"/>
      <c r="BV6" s="347"/>
    </row>
    <row r="7" spans="1:74" x14ac:dyDescent="0.25">
      <c r="A7" s="54" t="s">
        <v>11</v>
      </c>
      <c r="B7" s="446" t="s">
        <v>179</v>
      </c>
      <c r="C7" s="55">
        <v>2500000</v>
      </c>
      <c r="D7" s="55">
        <v>0</v>
      </c>
      <c r="E7" s="55">
        <v>0</v>
      </c>
      <c r="F7" s="55"/>
      <c r="G7" s="55"/>
      <c r="H7" s="55"/>
      <c r="I7" s="55">
        <f t="shared" si="2"/>
        <v>0</v>
      </c>
      <c r="J7" s="55">
        <v>0</v>
      </c>
      <c r="K7" s="55">
        <v>0</v>
      </c>
      <c r="L7" s="55">
        <v>0</v>
      </c>
      <c r="M7" s="55">
        <f t="shared" si="3"/>
        <v>0</v>
      </c>
      <c r="N7" s="54"/>
      <c r="O7" s="55"/>
      <c r="P7" s="55"/>
      <c r="Q7" s="55"/>
      <c r="R7" s="55"/>
      <c r="S7" s="55"/>
      <c r="T7" s="55"/>
      <c r="U7" s="54"/>
      <c r="V7" s="55">
        <f t="shared" si="4"/>
        <v>0</v>
      </c>
      <c r="W7" s="55">
        <f t="shared" si="5"/>
        <v>0</v>
      </c>
      <c r="X7" s="55"/>
      <c r="Z7" s="140" t="e">
        <f t="shared" si="0"/>
        <v>#DIV/0!</v>
      </c>
      <c r="AA7" s="69">
        <f t="shared" si="6"/>
        <v>0</v>
      </c>
      <c r="AB7" s="55"/>
      <c r="AC7" s="55"/>
      <c r="AD7" s="55"/>
      <c r="AE7" s="55"/>
      <c r="AF7" s="55"/>
      <c r="AG7" s="222"/>
      <c r="AH7" s="55">
        <f t="shared" si="7"/>
        <v>0</v>
      </c>
      <c r="AI7" s="63">
        <f t="shared" si="1"/>
        <v>0</v>
      </c>
      <c r="AJ7" s="52"/>
      <c r="AK7" s="69">
        <f t="shared" si="8"/>
        <v>0</v>
      </c>
      <c r="AM7" s="54"/>
      <c r="AN7" s="259"/>
      <c r="AO7" s="259"/>
      <c r="AP7" s="382"/>
      <c r="AT7" s="65"/>
      <c r="AW7" s="382"/>
      <c r="AX7" s="65"/>
      <c r="AY7" s="69">
        <f t="shared" si="13"/>
        <v>0</v>
      </c>
      <c r="AZ7" s="69">
        <f t="shared" si="11"/>
        <v>0</v>
      </c>
      <c r="BA7" s="258">
        <f t="shared" si="12"/>
        <v>0</v>
      </c>
      <c r="BB7" s="501"/>
      <c r="BE7" s="501"/>
      <c r="BF7" s="221"/>
      <c r="BI7" s="65"/>
      <c r="BJ7" s="55"/>
      <c r="BK7" s="65"/>
      <c r="BL7" s="69">
        <f t="shared" si="10"/>
        <v>0</v>
      </c>
      <c r="BM7" s="55"/>
      <c r="BN7" s="55"/>
      <c r="BO7" s="55"/>
      <c r="BP7" s="55"/>
      <c r="BQ7" s="54"/>
      <c r="BR7" s="55"/>
      <c r="BS7" s="55"/>
      <c r="BT7" s="55"/>
      <c r="BU7" s="353"/>
      <c r="BV7" s="347"/>
    </row>
    <row r="8" spans="1:74" x14ac:dyDescent="0.25">
      <c r="A8" s="54" t="s">
        <v>443</v>
      </c>
      <c r="B8" s="446" t="s">
        <v>444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4"/>
      <c r="O8" s="55"/>
      <c r="P8" s="55"/>
      <c r="Q8" s="55"/>
      <c r="R8" s="55"/>
      <c r="S8" s="55"/>
      <c r="T8" s="55"/>
      <c r="U8" s="54"/>
      <c r="V8" s="55"/>
      <c r="W8" s="55"/>
      <c r="X8" s="55"/>
      <c r="Z8" s="140"/>
      <c r="AA8" s="69"/>
      <c r="AB8" s="55"/>
      <c r="AC8" s="55"/>
      <c r="AD8" s="55"/>
      <c r="AE8" s="55"/>
      <c r="AF8" s="55"/>
      <c r="AG8" s="222"/>
      <c r="AH8" s="55">
        <f t="shared" si="7"/>
        <v>0</v>
      </c>
      <c r="AI8" s="63">
        <f t="shared" si="1"/>
        <v>0</v>
      </c>
      <c r="AJ8" s="52"/>
      <c r="AK8" s="69">
        <f t="shared" si="8"/>
        <v>0</v>
      </c>
      <c r="AM8" s="54"/>
      <c r="AN8" s="259"/>
      <c r="AO8" s="259"/>
      <c r="AP8" s="382"/>
      <c r="AT8" s="65"/>
      <c r="AW8" s="382"/>
      <c r="AX8" s="65"/>
      <c r="AY8" s="69">
        <f t="shared" si="13"/>
        <v>0</v>
      </c>
      <c r="AZ8" s="69">
        <f t="shared" si="11"/>
        <v>0</v>
      </c>
      <c r="BA8" s="258">
        <f t="shared" si="12"/>
        <v>0</v>
      </c>
      <c r="BB8" s="501"/>
      <c r="BE8" s="501"/>
      <c r="BF8" s="221"/>
      <c r="BI8" s="65"/>
      <c r="BJ8" s="55"/>
      <c r="BK8" s="65"/>
      <c r="BL8" s="69">
        <f t="shared" si="10"/>
        <v>0</v>
      </c>
      <c r="BM8" s="55"/>
      <c r="BN8" s="55"/>
      <c r="BO8" s="55"/>
      <c r="BP8" s="55"/>
      <c r="BQ8" s="54"/>
      <c r="BR8" s="55"/>
      <c r="BS8" s="55"/>
      <c r="BT8" s="55"/>
      <c r="BU8" s="353"/>
      <c r="BV8" s="347"/>
    </row>
    <row r="9" spans="1:74" x14ac:dyDescent="0.25">
      <c r="A9" s="54" t="s">
        <v>12</v>
      </c>
      <c r="B9" s="446" t="s">
        <v>180</v>
      </c>
      <c r="C9" s="55">
        <v>0</v>
      </c>
      <c r="D9" s="55">
        <v>0</v>
      </c>
      <c r="E9" s="55">
        <v>0</v>
      </c>
      <c r="F9" s="55">
        <v>1149900</v>
      </c>
      <c r="G9" s="55">
        <v>0</v>
      </c>
      <c r="H9" s="55">
        <v>1346320</v>
      </c>
      <c r="I9" s="55">
        <f t="shared" si="2"/>
        <v>1468712.7272727273</v>
      </c>
      <c r="J9" s="55"/>
      <c r="K9" s="55"/>
      <c r="L9" s="55"/>
      <c r="M9" s="55">
        <f t="shared" si="3"/>
        <v>0</v>
      </c>
      <c r="N9" s="54"/>
      <c r="O9" s="55"/>
      <c r="P9" s="55"/>
      <c r="Q9" s="55"/>
      <c r="R9" s="55"/>
      <c r="S9" s="55"/>
      <c r="T9" s="55"/>
      <c r="U9" s="54"/>
      <c r="V9" s="55">
        <f t="shared" si="4"/>
        <v>0</v>
      </c>
      <c r="W9" s="55">
        <f t="shared" si="5"/>
        <v>0</v>
      </c>
      <c r="X9" s="55"/>
      <c r="Z9" s="140" t="e">
        <f t="shared" si="0"/>
        <v>#DIV/0!</v>
      </c>
      <c r="AA9" s="69">
        <f t="shared" si="6"/>
        <v>0</v>
      </c>
      <c r="AB9" s="55"/>
      <c r="AC9" s="55"/>
      <c r="AD9" s="55"/>
      <c r="AE9" s="55"/>
      <c r="AF9" s="55"/>
      <c r="AG9" s="222"/>
      <c r="AH9" s="55">
        <f t="shared" si="7"/>
        <v>0</v>
      </c>
      <c r="AI9" s="63">
        <f t="shared" si="1"/>
        <v>0</v>
      </c>
      <c r="AJ9" s="52"/>
      <c r="AK9" s="69">
        <f t="shared" si="8"/>
        <v>0</v>
      </c>
      <c r="AM9" s="54"/>
      <c r="AN9" s="259"/>
      <c r="AO9" s="259"/>
      <c r="AP9" s="382"/>
      <c r="AT9" s="65"/>
      <c r="AW9" s="382"/>
      <c r="AX9" s="65"/>
      <c r="AY9" s="69">
        <f t="shared" si="13"/>
        <v>0</v>
      </c>
      <c r="AZ9" s="69">
        <f t="shared" si="11"/>
        <v>0</v>
      </c>
      <c r="BA9" s="258">
        <f t="shared" si="12"/>
        <v>0</v>
      </c>
      <c r="BB9" s="501"/>
      <c r="BE9" s="501"/>
      <c r="BF9" s="221"/>
      <c r="BI9" s="65"/>
      <c r="BJ9" s="55"/>
      <c r="BK9" s="65"/>
      <c r="BL9" s="69">
        <f t="shared" si="10"/>
        <v>0</v>
      </c>
      <c r="BM9" s="55"/>
      <c r="BN9" s="55"/>
      <c r="BO9" s="65"/>
      <c r="BP9" s="65"/>
      <c r="BQ9" s="54"/>
      <c r="BR9" s="55"/>
      <c r="BS9" s="55"/>
      <c r="BT9" s="55"/>
      <c r="BU9" s="353"/>
      <c r="BV9" s="347"/>
    </row>
    <row r="10" spans="1:74" x14ac:dyDescent="0.25">
      <c r="A10" s="54" t="s">
        <v>13</v>
      </c>
      <c r="B10" s="446" t="s">
        <v>181</v>
      </c>
      <c r="C10" s="55">
        <v>0</v>
      </c>
      <c r="D10" s="55">
        <v>0</v>
      </c>
      <c r="E10" s="55">
        <v>0</v>
      </c>
      <c r="F10" s="55"/>
      <c r="G10" s="55"/>
      <c r="H10" s="55"/>
      <c r="I10" s="55">
        <f t="shared" si="2"/>
        <v>0</v>
      </c>
      <c r="J10" s="55">
        <v>0</v>
      </c>
      <c r="K10" s="55">
        <v>0</v>
      </c>
      <c r="L10" s="55">
        <v>0</v>
      </c>
      <c r="M10" s="55">
        <f t="shared" si="3"/>
        <v>0</v>
      </c>
      <c r="N10" s="54"/>
      <c r="O10" s="55"/>
      <c r="P10" s="55"/>
      <c r="Q10" s="55"/>
      <c r="R10" s="55"/>
      <c r="S10" s="55"/>
      <c r="T10" s="55"/>
      <c r="U10" s="54"/>
      <c r="V10" s="55">
        <f t="shared" si="4"/>
        <v>0</v>
      </c>
      <c r="W10" s="55">
        <f t="shared" si="5"/>
        <v>0</v>
      </c>
      <c r="X10" s="55"/>
      <c r="Z10" s="140" t="e">
        <f t="shared" si="0"/>
        <v>#DIV/0!</v>
      </c>
      <c r="AA10" s="69">
        <f t="shared" si="6"/>
        <v>0</v>
      </c>
      <c r="AB10" s="55"/>
      <c r="AC10" s="55"/>
      <c r="AD10" s="55"/>
      <c r="AE10" s="55"/>
      <c r="AF10" s="55"/>
      <c r="AG10" s="222"/>
      <c r="AH10" s="55">
        <f t="shared" si="7"/>
        <v>0</v>
      </c>
      <c r="AI10" s="63">
        <f t="shared" si="1"/>
        <v>0</v>
      </c>
      <c r="AJ10" s="52"/>
      <c r="AK10" s="69">
        <f t="shared" si="8"/>
        <v>0</v>
      </c>
      <c r="AM10" s="54"/>
      <c r="AN10" s="259"/>
      <c r="AO10" s="259"/>
      <c r="AP10" s="382"/>
      <c r="AT10" s="65"/>
      <c r="AW10" s="382"/>
      <c r="AX10" s="65"/>
      <c r="AY10" s="69">
        <f t="shared" si="13"/>
        <v>0</v>
      </c>
      <c r="AZ10" s="69">
        <f t="shared" si="11"/>
        <v>0</v>
      </c>
      <c r="BA10" s="258">
        <f t="shared" si="12"/>
        <v>0</v>
      </c>
      <c r="BB10" s="501"/>
      <c r="BE10" s="501"/>
      <c r="BF10" s="221"/>
      <c r="BI10" s="65"/>
      <c r="BJ10" s="55"/>
      <c r="BK10" s="65"/>
      <c r="BL10" s="69">
        <f t="shared" si="10"/>
        <v>0</v>
      </c>
      <c r="BM10" s="55"/>
      <c r="BN10" s="55"/>
      <c r="BO10" s="65"/>
      <c r="BP10" s="65"/>
      <c r="BQ10" s="54"/>
      <c r="BR10" s="55"/>
      <c r="BS10" s="55"/>
      <c r="BT10" s="55"/>
      <c r="BU10" s="353"/>
      <c r="BV10" s="347"/>
    </row>
    <row r="11" spans="1:74" x14ac:dyDescent="0.25">
      <c r="A11" s="54" t="s">
        <v>440</v>
      </c>
      <c r="B11" s="446" t="s">
        <v>441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4"/>
      <c r="O11" s="55"/>
      <c r="P11" s="55"/>
      <c r="Q11" s="55"/>
      <c r="R11" s="55"/>
      <c r="S11" s="55"/>
      <c r="T11" s="55"/>
      <c r="U11" s="54"/>
      <c r="V11" s="55"/>
      <c r="W11" s="55"/>
      <c r="X11" s="55"/>
      <c r="Z11" s="140"/>
      <c r="AA11" s="69"/>
      <c r="AB11" s="55"/>
      <c r="AC11" s="55"/>
      <c r="AD11" s="55"/>
      <c r="AE11" s="55"/>
      <c r="AF11" s="55"/>
      <c r="AG11" s="222"/>
      <c r="AH11" s="55">
        <f t="shared" si="7"/>
        <v>0</v>
      </c>
      <c r="AI11" s="63">
        <f t="shared" si="1"/>
        <v>0</v>
      </c>
      <c r="AJ11" s="52"/>
      <c r="AK11" s="69">
        <f t="shared" si="8"/>
        <v>0</v>
      </c>
      <c r="AM11" s="54"/>
      <c r="AN11" s="259"/>
      <c r="AO11" s="259"/>
      <c r="AP11" s="382"/>
      <c r="AT11" s="65"/>
      <c r="AW11" s="382"/>
      <c r="AX11" s="65"/>
      <c r="AY11" s="69">
        <f t="shared" si="13"/>
        <v>0</v>
      </c>
      <c r="AZ11" s="69">
        <f t="shared" si="11"/>
        <v>0</v>
      </c>
      <c r="BA11" s="258">
        <f t="shared" si="12"/>
        <v>0</v>
      </c>
      <c r="BB11" s="501"/>
      <c r="BE11" s="501"/>
      <c r="BF11" s="221"/>
      <c r="BI11" s="65"/>
      <c r="BJ11" s="55"/>
      <c r="BK11" s="65"/>
      <c r="BL11" s="69">
        <f t="shared" si="10"/>
        <v>0</v>
      </c>
      <c r="BM11" s="55"/>
      <c r="BN11" s="55"/>
      <c r="BO11" s="65"/>
      <c r="BP11" s="65"/>
      <c r="BQ11" s="54"/>
      <c r="BR11" s="55"/>
      <c r="BS11" s="55"/>
      <c r="BT11" s="55"/>
      <c r="BU11" s="353"/>
      <c r="BV11" s="347"/>
    </row>
    <row r="12" spans="1:74" x14ac:dyDescent="0.25">
      <c r="A12" s="54" t="s">
        <v>14</v>
      </c>
      <c r="B12" s="446" t="s">
        <v>182</v>
      </c>
      <c r="C12" s="55">
        <v>0</v>
      </c>
      <c r="D12" s="55">
        <v>0</v>
      </c>
      <c r="E12" s="55">
        <v>0</v>
      </c>
      <c r="F12" s="55"/>
      <c r="G12" s="55"/>
      <c r="H12" s="55"/>
      <c r="I12" s="55">
        <f t="shared" si="2"/>
        <v>0</v>
      </c>
      <c r="J12" s="55">
        <v>0</v>
      </c>
      <c r="K12" s="55">
        <v>0</v>
      </c>
      <c r="L12" s="55">
        <v>0</v>
      </c>
      <c r="M12" s="55">
        <f t="shared" si="3"/>
        <v>0</v>
      </c>
      <c r="N12" s="54"/>
      <c r="O12" s="55"/>
      <c r="P12" s="55"/>
      <c r="Q12" s="55"/>
      <c r="R12" s="55"/>
      <c r="S12" s="55"/>
      <c r="T12" s="55"/>
      <c r="U12" s="54"/>
      <c r="V12" s="55">
        <f t="shared" si="4"/>
        <v>0</v>
      </c>
      <c r="W12" s="55">
        <f t="shared" si="5"/>
        <v>0</v>
      </c>
      <c r="X12" s="55"/>
      <c r="Z12" s="140" t="e">
        <f t="shared" si="0"/>
        <v>#DIV/0!</v>
      </c>
      <c r="AA12" s="69">
        <f t="shared" si="6"/>
        <v>0</v>
      </c>
      <c r="AB12" s="55"/>
      <c r="AC12" s="55"/>
      <c r="AD12" s="55"/>
      <c r="AE12" s="55"/>
      <c r="AF12" s="55"/>
      <c r="AG12" s="222"/>
      <c r="AH12" s="55">
        <f t="shared" si="7"/>
        <v>0</v>
      </c>
      <c r="AI12" s="63">
        <f t="shared" si="1"/>
        <v>0</v>
      </c>
      <c r="AJ12" s="52"/>
      <c r="AK12" s="69">
        <f t="shared" si="8"/>
        <v>0</v>
      </c>
      <c r="AM12" s="54"/>
      <c r="AN12" s="259"/>
      <c r="AO12" s="259"/>
      <c r="AP12" s="382"/>
      <c r="AT12" s="65"/>
      <c r="AW12" s="382"/>
      <c r="AX12" s="65"/>
      <c r="AY12" s="69">
        <f t="shared" si="13"/>
        <v>0</v>
      </c>
      <c r="AZ12" s="69">
        <f t="shared" si="11"/>
        <v>0</v>
      </c>
      <c r="BA12" s="258">
        <f t="shared" si="12"/>
        <v>0</v>
      </c>
      <c r="BB12" s="501"/>
      <c r="BE12" s="501"/>
      <c r="BF12" s="221"/>
      <c r="BI12" s="65"/>
      <c r="BJ12" s="55"/>
      <c r="BK12" s="65"/>
      <c r="BL12" s="69">
        <f t="shared" si="10"/>
        <v>0</v>
      </c>
      <c r="BM12" s="55"/>
      <c r="BN12" s="55"/>
      <c r="BO12" s="65"/>
      <c r="BP12" s="65"/>
      <c r="BQ12" s="210"/>
      <c r="BR12" s="55"/>
      <c r="BS12" s="55"/>
      <c r="BT12" s="55"/>
      <c r="BU12" s="353"/>
      <c r="BV12" s="347"/>
    </row>
    <row r="13" spans="1:74" x14ac:dyDescent="0.25">
      <c r="A13" s="54" t="s">
        <v>15</v>
      </c>
      <c r="B13" s="446" t="s">
        <v>183</v>
      </c>
      <c r="C13" s="55">
        <v>0</v>
      </c>
      <c r="D13" s="55">
        <v>0</v>
      </c>
      <c r="E13" s="55">
        <v>0</v>
      </c>
      <c r="F13" s="55"/>
      <c r="G13" s="55"/>
      <c r="H13" s="55"/>
      <c r="I13" s="55">
        <f t="shared" si="2"/>
        <v>0</v>
      </c>
      <c r="J13" s="55">
        <v>0</v>
      </c>
      <c r="K13" s="55">
        <v>0</v>
      </c>
      <c r="L13" s="55">
        <v>0</v>
      </c>
      <c r="M13" s="55">
        <f t="shared" si="3"/>
        <v>0</v>
      </c>
      <c r="N13" s="54"/>
      <c r="O13" s="55"/>
      <c r="P13" s="55"/>
      <c r="Q13" s="55"/>
      <c r="R13" s="55"/>
      <c r="S13" s="55"/>
      <c r="T13" s="55"/>
      <c r="U13" s="54"/>
      <c r="V13" s="55">
        <f t="shared" si="4"/>
        <v>0</v>
      </c>
      <c r="W13" s="55">
        <f t="shared" si="5"/>
        <v>0</v>
      </c>
      <c r="X13" s="55"/>
      <c r="Z13" s="140" t="e">
        <f t="shared" si="0"/>
        <v>#DIV/0!</v>
      </c>
      <c r="AA13" s="69">
        <f t="shared" si="6"/>
        <v>0</v>
      </c>
      <c r="AB13" s="55"/>
      <c r="AC13" s="55"/>
      <c r="AD13" s="55"/>
      <c r="AE13" s="55"/>
      <c r="AF13" s="55"/>
      <c r="AG13" s="222"/>
      <c r="AH13" s="55">
        <f t="shared" si="7"/>
        <v>0</v>
      </c>
      <c r="AI13" s="63">
        <f t="shared" si="1"/>
        <v>0</v>
      </c>
      <c r="AJ13" s="52"/>
      <c r="AK13" s="69">
        <f t="shared" si="8"/>
        <v>0</v>
      </c>
      <c r="AM13" s="54"/>
      <c r="AN13" s="259"/>
      <c r="AO13" s="259"/>
      <c r="AP13" s="382"/>
      <c r="AT13" s="65"/>
      <c r="AW13" s="382"/>
      <c r="AX13" s="65"/>
      <c r="AY13" s="69">
        <f t="shared" si="13"/>
        <v>0</v>
      </c>
      <c r="AZ13" s="69">
        <f t="shared" si="11"/>
        <v>0</v>
      </c>
      <c r="BA13" s="258">
        <f t="shared" si="12"/>
        <v>0</v>
      </c>
      <c r="BB13" s="501"/>
      <c r="BE13" s="501"/>
      <c r="BF13" s="221"/>
      <c r="BI13" s="65"/>
      <c r="BJ13" s="55"/>
      <c r="BK13" s="65"/>
      <c r="BL13" s="69">
        <f t="shared" si="10"/>
        <v>0</v>
      </c>
      <c r="BM13" s="55"/>
      <c r="BN13" s="55"/>
      <c r="BO13" s="65"/>
      <c r="BP13" s="65"/>
      <c r="BQ13" s="210"/>
      <c r="BR13" s="55"/>
      <c r="BS13" s="55"/>
      <c r="BT13" s="55"/>
      <c r="BU13" s="353"/>
      <c r="BV13" s="347"/>
    </row>
    <row r="14" spans="1:74" x14ac:dyDescent="0.25">
      <c r="A14" s="54" t="s">
        <v>16</v>
      </c>
      <c r="B14" s="446" t="s">
        <v>184</v>
      </c>
      <c r="C14" s="55">
        <v>0</v>
      </c>
      <c r="D14" s="55">
        <v>0</v>
      </c>
      <c r="E14" s="55">
        <v>0</v>
      </c>
      <c r="F14" s="55"/>
      <c r="G14" s="55"/>
      <c r="H14" s="55"/>
      <c r="I14" s="55">
        <f t="shared" si="2"/>
        <v>0</v>
      </c>
      <c r="J14" s="55">
        <v>0</v>
      </c>
      <c r="K14" s="55">
        <v>0</v>
      </c>
      <c r="L14" s="55">
        <v>0</v>
      </c>
      <c r="M14" s="55">
        <f t="shared" si="3"/>
        <v>0</v>
      </c>
      <c r="N14" s="54"/>
      <c r="O14" s="55"/>
      <c r="P14" s="55"/>
      <c r="Q14" s="55"/>
      <c r="R14" s="55"/>
      <c r="S14" s="55"/>
      <c r="T14" s="55"/>
      <c r="U14" s="54"/>
      <c r="V14" s="55">
        <f t="shared" si="4"/>
        <v>0</v>
      </c>
      <c r="W14" s="55">
        <f t="shared" si="5"/>
        <v>0</v>
      </c>
      <c r="X14" s="55"/>
      <c r="Z14" s="140" t="e">
        <f t="shared" si="0"/>
        <v>#DIV/0!</v>
      </c>
      <c r="AA14" s="69">
        <f t="shared" si="6"/>
        <v>0</v>
      </c>
      <c r="AB14" s="55"/>
      <c r="AC14" s="55"/>
      <c r="AD14" s="55"/>
      <c r="AE14" s="55"/>
      <c r="AF14" s="55"/>
      <c r="AG14" s="222"/>
      <c r="AH14" s="55">
        <f t="shared" si="7"/>
        <v>0</v>
      </c>
      <c r="AI14" s="63">
        <f t="shared" si="1"/>
        <v>0</v>
      </c>
      <c r="AJ14" s="52"/>
      <c r="AK14" s="69">
        <f t="shared" si="8"/>
        <v>0</v>
      </c>
      <c r="AM14" s="54"/>
      <c r="AN14" s="259"/>
      <c r="AO14" s="259"/>
      <c r="AP14" s="382"/>
      <c r="AT14" s="65"/>
      <c r="AW14" s="382"/>
      <c r="AX14" s="65"/>
      <c r="AY14" s="69">
        <f t="shared" si="13"/>
        <v>0</v>
      </c>
      <c r="AZ14" s="69">
        <f t="shared" si="11"/>
        <v>0</v>
      </c>
      <c r="BA14" s="258">
        <f t="shared" si="12"/>
        <v>0</v>
      </c>
      <c r="BB14" s="501"/>
      <c r="BE14" s="501"/>
      <c r="BF14" s="221"/>
      <c r="BI14" s="65"/>
      <c r="BJ14" s="55"/>
      <c r="BK14" s="65"/>
      <c r="BL14" s="69">
        <f t="shared" si="10"/>
        <v>0</v>
      </c>
      <c r="BM14" s="55"/>
      <c r="BN14" s="55"/>
      <c r="BO14" s="65"/>
      <c r="BP14" s="65"/>
      <c r="BQ14" s="210"/>
      <c r="BR14" s="55"/>
      <c r="BS14" s="55"/>
      <c r="BT14" s="55"/>
      <c r="BU14" s="353"/>
      <c r="BV14" s="347"/>
    </row>
    <row r="15" spans="1:74" x14ac:dyDescent="0.25">
      <c r="A15" s="54" t="s">
        <v>17</v>
      </c>
      <c r="B15" s="446" t="s">
        <v>185</v>
      </c>
      <c r="C15" s="55">
        <v>0</v>
      </c>
      <c r="D15" s="55">
        <v>0</v>
      </c>
      <c r="E15" s="55">
        <v>0</v>
      </c>
      <c r="F15" s="55"/>
      <c r="G15" s="55"/>
      <c r="H15" s="55"/>
      <c r="I15" s="55">
        <f t="shared" si="2"/>
        <v>0</v>
      </c>
      <c r="J15" s="55">
        <v>0</v>
      </c>
      <c r="K15" s="55">
        <v>0</v>
      </c>
      <c r="L15" s="55">
        <v>0</v>
      </c>
      <c r="M15" s="55">
        <f t="shared" si="3"/>
        <v>0</v>
      </c>
      <c r="N15" s="54"/>
      <c r="O15" s="55"/>
      <c r="P15" s="55"/>
      <c r="Q15" s="55"/>
      <c r="R15" s="55"/>
      <c r="S15" s="55"/>
      <c r="T15" s="55"/>
      <c r="U15" s="54"/>
      <c r="V15" s="55">
        <f t="shared" si="4"/>
        <v>0</v>
      </c>
      <c r="W15" s="55">
        <f t="shared" si="5"/>
        <v>0</v>
      </c>
      <c r="X15" s="55"/>
      <c r="Z15" s="140" t="e">
        <f t="shared" si="0"/>
        <v>#DIV/0!</v>
      </c>
      <c r="AA15" s="69">
        <f t="shared" si="6"/>
        <v>0</v>
      </c>
      <c r="AB15" s="55"/>
      <c r="AC15" s="55"/>
      <c r="AD15" s="55"/>
      <c r="AE15" s="55"/>
      <c r="AF15" s="55"/>
      <c r="AG15" s="222"/>
      <c r="AH15" s="55">
        <f t="shared" si="7"/>
        <v>0</v>
      </c>
      <c r="AI15" s="63">
        <f t="shared" si="1"/>
        <v>0</v>
      </c>
      <c r="AJ15" s="52"/>
      <c r="AK15" s="69">
        <f t="shared" si="8"/>
        <v>0</v>
      </c>
      <c r="AM15" s="54"/>
      <c r="AN15" s="259"/>
      <c r="AO15" s="259"/>
      <c r="AP15" s="382"/>
      <c r="AT15" s="65"/>
      <c r="AW15" s="382"/>
      <c r="AX15" s="65"/>
      <c r="AY15" s="69">
        <f t="shared" si="13"/>
        <v>0</v>
      </c>
      <c r="AZ15" s="69">
        <f t="shared" si="11"/>
        <v>0</v>
      </c>
      <c r="BA15" s="258">
        <f t="shared" si="12"/>
        <v>0</v>
      </c>
      <c r="BB15" s="501"/>
      <c r="BE15" s="501"/>
      <c r="BF15" s="221"/>
      <c r="BI15" s="65"/>
      <c r="BJ15" s="55"/>
      <c r="BK15" s="65"/>
      <c r="BL15" s="69">
        <f t="shared" si="10"/>
        <v>0</v>
      </c>
      <c r="BM15" s="55"/>
      <c r="BN15" s="55"/>
      <c r="BO15" s="65"/>
      <c r="BP15" s="65"/>
      <c r="BQ15" s="210"/>
      <c r="BR15" s="55"/>
      <c r="BS15" s="55"/>
      <c r="BT15" s="55"/>
      <c r="BU15" s="353"/>
      <c r="BV15" s="347"/>
    </row>
    <row r="16" spans="1:74" x14ac:dyDescent="0.25">
      <c r="A16" s="54" t="s">
        <v>18</v>
      </c>
      <c r="B16" s="446" t="s">
        <v>186</v>
      </c>
      <c r="C16" s="55">
        <v>0</v>
      </c>
      <c r="D16" s="55">
        <v>0</v>
      </c>
      <c r="E16" s="55">
        <v>0</v>
      </c>
      <c r="F16" s="55"/>
      <c r="G16" s="55"/>
      <c r="H16" s="55"/>
      <c r="I16" s="55">
        <f t="shared" si="2"/>
        <v>0</v>
      </c>
      <c r="J16" s="55">
        <v>0</v>
      </c>
      <c r="K16" s="55">
        <v>0</v>
      </c>
      <c r="L16" s="55">
        <v>0</v>
      </c>
      <c r="M16" s="55">
        <f t="shared" si="3"/>
        <v>0</v>
      </c>
      <c r="N16" s="54"/>
      <c r="O16" s="55"/>
      <c r="P16" s="55"/>
      <c r="Q16" s="55"/>
      <c r="R16" s="55"/>
      <c r="S16" s="55"/>
      <c r="T16" s="55"/>
      <c r="U16" s="54"/>
      <c r="V16" s="55">
        <f t="shared" si="4"/>
        <v>0</v>
      </c>
      <c r="W16" s="55">
        <f t="shared" si="5"/>
        <v>0</v>
      </c>
      <c r="X16" s="55"/>
      <c r="Z16" s="140" t="e">
        <f t="shared" si="0"/>
        <v>#DIV/0!</v>
      </c>
      <c r="AA16" s="69">
        <f t="shared" si="6"/>
        <v>0</v>
      </c>
      <c r="AB16" s="55"/>
      <c r="AC16" s="55"/>
      <c r="AD16" s="55"/>
      <c r="AE16" s="55"/>
      <c r="AF16" s="55"/>
      <c r="AG16" s="222"/>
      <c r="AH16" s="55">
        <f t="shared" si="7"/>
        <v>0</v>
      </c>
      <c r="AI16" s="63">
        <f t="shared" si="1"/>
        <v>0</v>
      </c>
      <c r="AJ16" s="52"/>
      <c r="AK16" s="69">
        <f t="shared" si="8"/>
        <v>0</v>
      </c>
      <c r="AM16" s="54"/>
      <c r="AN16" s="259"/>
      <c r="AO16" s="259"/>
      <c r="AP16" s="382"/>
      <c r="AT16" s="65"/>
      <c r="AW16" s="382"/>
      <c r="AX16" s="65"/>
      <c r="AY16" s="69">
        <f t="shared" si="13"/>
        <v>0</v>
      </c>
      <c r="AZ16" s="69">
        <f t="shared" si="11"/>
        <v>0</v>
      </c>
      <c r="BA16" s="258">
        <f t="shared" si="12"/>
        <v>0</v>
      </c>
      <c r="BB16" s="501"/>
      <c r="BE16" s="501"/>
      <c r="BF16" s="221"/>
      <c r="BI16" s="65"/>
      <c r="BJ16" s="55"/>
      <c r="BK16" s="65"/>
      <c r="BL16" s="69">
        <f t="shared" si="10"/>
        <v>0</v>
      </c>
      <c r="BM16" s="55"/>
      <c r="BN16" s="55"/>
      <c r="BO16" s="65"/>
      <c r="BP16" s="65"/>
      <c r="BQ16" s="210"/>
      <c r="BR16" s="55"/>
      <c r="BS16" s="55"/>
      <c r="BT16" s="55"/>
      <c r="BU16" s="353"/>
      <c r="BV16" s="347"/>
    </row>
    <row r="17" spans="1:74" x14ac:dyDescent="0.25">
      <c r="A17" s="54" t="s">
        <v>19</v>
      </c>
      <c r="B17" s="446" t="s">
        <v>187</v>
      </c>
      <c r="C17" s="55">
        <v>0</v>
      </c>
      <c r="D17" s="55">
        <v>0</v>
      </c>
      <c r="E17" s="55">
        <v>0</v>
      </c>
      <c r="F17" s="55"/>
      <c r="G17" s="55"/>
      <c r="H17" s="55"/>
      <c r="I17" s="55">
        <f t="shared" si="2"/>
        <v>0</v>
      </c>
      <c r="J17" s="55">
        <v>0</v>
      </c>
      <c r="K17" s="55">
        <v>0</v>
      </c>
      <c r="L17" s="55">
        <v>0</v>
      </c>
      <c r="M17" s="55">
        <f t="shared" si="3"/>
        <v>0</v>
      </c>
      <c r="N17" s="54"/>
      <c r="O17" s="55"/>
      <c r="P17" s="55"/>
      <c r="Q17" s="55"/>
      <c r="R17" s="55"/>
      <c r="S17" s="55"/>
      <c r="T17" s="55"/>
      <c r="U17" s="54"/>
      <c r="V17" s="55">
        <f t="shared" si="4"/>
        <v>0</v>
      </c>
      <c r="W17" s="55">
        <f t="shared" si="5"/>
        <v>0</v>
      </c>
      <c r="X17" s="55"/>
      <c r="Z17" s="140" t="e">
        <f t="shared" si="0"/>
        <v>#DIV/0!</v>
      </c>
      <c r="AA17" s="69">
        <f t="shared" si="6"/>
        <v>0</v>
      </c>
      <c r="AB17" s="55"/>
      <c r="AC17" s="55"/>
      <c r="AD17" s="55"/>
      <c r="AE17" s="55"/>
      <c r="AF17" s="55"/>
      <c r="AG17" s="222"/>
      <c r="AH17" s="55">
        <f t="shared" si="7"/>
        <v>0</v>
      </c>
      <c r="AI17" s="63">
        <f t="shared" si="1"/>
        <v>0</v>
      </c>
      <c r="AJ17" s="52"/>
      <c r="AK17" s="69">
        <f t="shared" si="8"/>
        <v>0</v>
      </c>
      <c r="AM17" s="54"/>
      <c r="AN17" s="259"/>
      <c r="AO17" s="259"/>
      <c r="AP17" s="382"/>
      <c r="AT17" s="65"/>
      <c r="AW17" s="382"/>
      <c r="AX17" s="381"/>
      <c r="AY17" s="69">
        <f t="shared" si="13"/>
        <v>0</v>
      </c>
      <c r="AZ17" s="69">
        <f t="shared" si="11"/>
        <v>0</v>
      </c>
      <c r="BA17" s="258">
        <f t="shared" si="12"/>
        <v>0</v>
      </c>
      <c r="BB17" s="501"/>
      <c r="BE17" s="501"/>
      <c r="BF17" s="221"/>
      <c r="BI17" s="65"/>
      <c r="BJ17" s="55"/>
      <c r="BK17" s="65"/>
      <c r="BL17" s="69">
        <f t="shared" si="10"/>
        <v>0</v>
      </c>
      <c r="BM17" s="55"/>
      <c r="BN17" s="55"/>
      <c r="BO17" s="65"/>
      <c r="BP17" s="65"/>
      <c r="BQ17" s="54"/>
      <c r="BR17" s="55"/>
      <c r="BS17" s="55"/>
      <c r="BT17" s="55"/>
      <c r="BU17" s="353"/>
      <c r="BV17" s="347"/>
    </row>
    <row r="18" spans="1:74" x14ac:dyDescent="0.25">
      <c r="A18" s="54" t="s">
        <v>20</v>
      </c>
      <c r="B18" s="446" t="s">
        <v>188</v>
      </c>
      <c r="C18" s="55">
        <v>10465144</v>
      </c>
      <c r="D18" s="55">
        <v>15066668</v>
      </c>
      <c r="E18" s="55">
        <v>15066668</v>
      </c>
      <c r="F18" s="55">
        <f>760383+11953655</f>
        <v>12714038</v>
      </c>
      <c r="G18" s="55">
        <v>15066668</v>
      </c>
      <c r="H18" s="55">
        <v>796417</v>
      </c>
      <c r="I18" s="55">
        <f t="shared" si="2"/>
        <v>868818.54545454541</v>
      </c>
      <c r="J18" s="55">
        <v>15066668</v>
      </c>
      <c r="K18" s="55">
        <v>15066668</v>
      </c>
      <c r="L18" s="55">
        <f>E18</f>
        <v>15066668</v>
      </c>
      <c r="M18" s="55">
        <f t="shared" si="3"/>
        <v>1734.1558923696173</v>
      </c>
      <c r="N18" s="54"/>
      <c r="O18" s="55">
        <v>15066668</v>
      </c>
      <c r="P18" s="55">
        <v>9182155</v>
      </c>
      <c r="Q18" s="55">
        <v>10303160</v>
      </c>
      <c r="R18" s="55">
        <v>15066668</v>
      </c>
      <c r="S18" s="55">
        <v>15066668</v>
      </c>
      <c r="T18" s="66">
        <v>14000000</v>
      </c>
      <c r="U18" s="55">
        <v>15066668</v>
      </c>
      <c r="V18" s="55">
        <f t="shared" si="4"/>
        <v>15066668</v>
      </c>
      <c r="W18" s="55">
        <f t="shared" si="5"/>
        <v>15066668</v>
      </c>
      <c r="X18" s="55"/>
      <c r="Z18" s="140">
        <f t="shared" si="0"/>
        <v>1.0761905714285713</v>
      </c>
      <c r="AA18" s="69">
        <f t="shared" si="6"/>
        <v>15066668</v>
      </c>
      <c r="AB18" s="55">
        <v>7123204</v>
      </c>
      <c r="AC18" s="55">
        <v>8531861</v>
      </c>
      <c r="AD18" s="55">
        <v>9658489</v>
      </c>
      <c r="AE18" s="122">
        <f>AD18/AA18*100</f>
        <v>64.105009813715938</v>
      </c>
      <c r="AF18" s="55">
        <v>15066668</v>
      </c>
      <c r="AG18" s="222">
        <v>11048482</v>
      </c>
      <c r="AH18" s="55">
        <f t="shared" si="7"/>
        <v>13258178.399999999</v>
      </c>
      <c r="AI18" s="63">
        <v>15066668</v>
      </c>
      <c r="AJ18" s="52"/>
      <c r="AK18" s="69">
        <f t="shared" si="8"/>
        <v>15066668</v>
      </c>
      <c r="AM18" s="347">
        <v>13742423</v>
      </c>
      <c r="AN18" s="353"/>
      <c r="AO18" s="353"/>
      <c r="AP18" s="382">
        <v>15066668</v>
      </c>
      <c r="AQ18" s="382">
        <v>8413921</v>
      </c>
      <c r="AR18" s="381">
        <f>AP18-AQ18</f>
        <v>6652747</v>
      </c>
      <c r="AS18" s="54">
        <f>AQ18/AP18*100</f>
        <v>55.844603465079331</v>
      </c>
      <c r="AT18" s="65">
        <v>10075212</v>
      </c>
      <c r="AU18" s="69">
        <f>AP18-AT18</f>
        <v>4991456</v>
      </c>
      <c r="AV18" s="54">
        <f>AU18/AP18*100</f>
        <v>33.129129811581429</v>
      </c>
      <c r="AW18" s="382">
        <v>15066668</v>
      </c>
      <c r="AX18" s="381">
        <v>15066668</v>
      </c>
      <c r="AY18" s="69">
        <f t="shared" si="13"/>
        <v>15066668</v>
      </c>
      <c r="AZ18" s="69">
        <f t="shared" si="11"/>
        <v>15066668</v>
      </c>
      <c r="BA18" s="258">
        <f t="shared" si="12"/>
        <v>15066668</v>
      </c>
      <c r="BB18" s="501">
        <v>15066668</v>
      </c>
      <c r="BC18" s="501">
        <v>15066668</v>
      </c>
      <c r="BD18" s="501">
        <v>7715482</v>
      </c>
      <c r="BE18" s="501">
        <v>9900338</v>
      </c>
      <c r="BF18" s="221">
        <v>11381352</v>
      </c>
      <c r="BG18" s="515">
        <f>BF18/10*12</f>
        <v>13657622.399999999</v>
      </c>
      <c r="BH18" s="65">
        <f>BB18*1.06</f>
        <v>15970668.08</v>
      </c>
      <c r="BI18" s="65">
        <v>470668</v>
      </c>
      <c r="BJ18" s="55">
        <v>330658</v>
      </c>
      <c r="BK18" s="65">
        <v>705168</v>
      </c>
      <c r="BL18" s="69">
        <f t="shared" si="10"/>
        <v>846201.60000000009</v>
      </c>
      <c r="BM18" s="55"/>
      <c r="BN18" s="55"/>
      <c r="BO18" s="65">
        <v>193226</v>
      </c>
      <c r="BP18" s="65">
        <f>BO18/10*12</f>
        <v>231871.19999999998</v>
      </c>
      <c r="BQ18" s="69">
        <v>231871</v>
      </c>
      <c r="BR18" s="55"/>
      <c r="BS18" s="55"/>
      <c r="BT18" s="55"/>
      <c r="BU18" s="353"/>
      <c r="BV18" s="347"/>
    </row>
    <row r="19" spans="1:74" x14ac:dyDescent="0.25">
      <c r="A19" s="54" t="s">
        <v>21</v>
      </c>
      <c r="B19" s="446" t="s">
        <v>189</v>
      </c>
      <c r="C19" s="55">
        <v>15000000</v>
      </c>
      <c r="D19" s="55">
        <v>0</v>
      </c>
      <c r="E19" s="55">
        <v>0</v>
      </c>
      <c r="F19" s="55"/>
      <c r="G19" s="55"/>
      <c r="H19" s="55"/>
      <c r="I19" s="55">
        <f t="shared" si="2"/>
        <v>0</v>
      </c>
      <c r="J19" s="55">
        <v>0</v>
      </c>
      <c r="K19" s="55">
        <v>0</v>
      </c>
      <c r="L19" s="55">
        <v>0</v>
      </c>
      <c r="M19" s="55">
        <f t="shared" si="3"/>
        <v>0</v>
      </c>
      <c r="N19" s="54"/>
      <c r="O19" s="55"/>
      <c r="P19" s="55"/>
      <c r="Q19" s="55"/>
      <c r="R19" s="55"/>
      <c r="S19" s="55"/>
      <c r="T19" s="55"/>
      <c r="U19" s="54"/>
      <c r="V19" s="55">
        <f t="shared" si="4"/>
        <v>0</v>
      </c>
      <c r="W19" s="55">
        <f t="shared" si="5"/>
        <v>0</v>
      </c>
      <c r="X19" s="55"/>
      <c r="Z19" s="140" t="e">
        <f t="shared" si="0"/>
        <v>#DIV/0!</v>
      </c>
      <c r="AA19" s="69">
        <f t="shared" si="6"/>
        <v>0</v>
      </c>
      <c r="AB19" s="55"/>
      <c r="AC19" s="55"/>
      <c r="AD19" s="55"/>
      <c r="AE19" s="122"/>
      <c r="AF19" s="55"/>
      <c r="AG19" s="222"/>
      <c r="AH19" s="55">
        <f t="shared" si="7"/>
        <v>0</v>
      </c>
      <c r="AI19" s="63">
        <f t="shared" si="1"/>
        <v>0</v>
      </c>
      <c r="AJ19" s="52"/>
      <c r="AK19" s="69">
        <f t="shared" si="8"/>
        <v>0</v>
      </c>
      <c r="AM19" s="347"/>
      <c r="AN19" s="353"/>
      <c r="AO19" s="353"/>
      <c r="AP19" s="382"/>
      <c r="AR19" s="381">
        <f t="shared" ref="AR19:AR86" si="14">AP19-AQ19</f>
        <v>0</v>
      </c>
      <c r="AT19" s="65"/>
      <c r="AU19" s="69"/>
      <c r="AW19" s="382"/>
      <c r="AX19" s="381"/>
      <c r="AY19" s="69">
        <f t="shared" si="13"/>
        <v>0</v>
      </c>
      <c r="AZ19" s="69">
        <f t="shared" si="11"/>
        <v>0</v>
      </c>
      <c r="BA19" s="258">
        <f t="shared" si="12"/>
        <v>0</v>
      </c>
      <c r="BB19" s="501"/>
      <c r="BE19" s="501"/>
      <c r="BF19" s="221"/>
      <c r="BG19" s="515">
        <f t="shared" ref="BG19:BG86" si="15">BF19/10*12</f>
        <v>0</v>
      </c>
      <c r="BH19" s="65">
        <f t="shared" ref="BH19:BH36" si="16">BB19*1.06</f>
        <v>0</v>
      </c>
      <c r="BI19" s="65"/>
      <c r="BJ19" s="55"/>
      <c r="BK19" s="65"/>
      <c r="BL19" s="69">
        <f t="shared" si="10"/>
        <v>0</v>
      </c>
      <c r="BM19" s="55"/>
      <c r="BN19" s="55"/>
      <c r="BO19" s="55">
        <v>27300</v>
      </c>
      <c r="BP19" s="65">
        <f t="shared" ref="BP19:BP34" si="17">BO19/10*12</f>
        <v>32760</v>
      </c>
      <c r="BQ19" s="69">
        <v>32760</v>
      </c>
      <c r="BR19" s="55"/>
      <c r="BS19" s="55"/>
      <c r="BT19" s="55"/>
      <c r="BU19" s="353"/>
      <c r="BV19" s="347"/>
    </row>
    <row r="20" spans="1:74" x14ac:dyDescent="0.25">
      <c r="A20" s="54" t="s">
        <v>22</v>
      </c>
      <c r="B20" s="58" t="s">
        <v>194</v>
      </c>
      <c r="C20" s="55">
        <v>0</v>
      </c>
      <c r="D20" s="55">
        <v>0</v>
      </c>
      <c r="E20" s="55">
        <v>0</v>
      </c>
      <c r="F20" s="55"/>
      <c r="G20" s="55"/>
      <c r="H20" s="55"/>
      <c r="I20" s="55">
        <f t="shared" si="2"/>
        <v>0</v>
      </c>
      <c r="J20" s="55"/>
      <c r="K20" s="55"/>
      <c r="L20" s="55"/>
      <c r="M20" s="55">
        <f t="shared" si="3"/>
        <v>0</v>
      </c>
      <c r="N20" s="54"/>
      <c r="O20" s="55"/>
      <c r="P20" s="55"/>
      <c r="Q20" s="55"/>
      <c r="R20" s="55"/>
      <c r="S20" s="55"/>
      <c r="T20" s="55"/>
      <c r="U20" s="54"/>
      <c r="V20" s="55">
        <f t="shared" si="4"/>
        <v>0</v>
      </c>
      <c r="W20" s="55">
        <f t="shared" si="5"/>
        <v>0</v>
      </c>
      <c r="X20" s="55"/>
      <c r="Z20" s="140" t="e">
        <f t="shared" si="0"/>
        <v>#DIV/0!</v>
      </c>
      <c r="AA20" s="69">
        <f t="shared" si="6"/>
        <v>0</v>
      </c>
      <c r="AB20" s="55"/>
      <c r="AC20" s="55"/>
      <c r="AD20" s="55"/>
      <c r="AE20" s="122"/>
      <c r="AF20" s="55"/>
      <c r="AG20" s="222"/>
      <c r="AH20" s="55">
        <f t="shared" si="7"/>
        <v>0</v>
      </c>
      <c r="AI20" s="63">
        <f t="shared" si="1"/>
        <v>0</v>
      </c>
      <c r="AJ20" s="52"/>
      <c r="AK20" s="69">
        <f t="shared" si="8"/>
        <v>0</v>
      </c>
      <c r="AM20" s="347"/>
      <c r="AN20" s="353"/>
      <c r="AO20" s="353"/>
      <c r="AP20" s="382"/>
      <c r="AR20" s="381">
        <f t="shared" si="14"/>
        <v>0</v>
      </c>
      <c r="AT20" s="65"/>
      <c r="AU20" s="69"/>
      <c r="AW20" s="382"/>
      <c r="AX20" s="381"/>
      <c r="AY20" s="69">
        <f t="shared" si="13"/>
        <v>0</v>
      </c>
      <c r="AZ20" s="69">
        <f t="shared" si="11"/>
        <v>0</v>
      </c>
      <c r="BA20" s="258">
        <f t="shared" si="12"/>
        <v>0</v>
      </c>
      <c r="BB20" s="501"/>
      <c r="BE20" s="501"/>
      <c r="BF20" s="221"/>
      <c r="BG20" s="515">
        <f t="shared" si="15"/>
        <v>0</v>
      </c>
      <c r="BH20" s="65">
        <f t="shared" si="16"/>
        <v>0</v>
      </c>
      <c r="BI20" s="65"/>
      <c r="BJ20" s="55"/>
      <c r="BK20" s="65"/>
      <c r="BL20" s="69">
        <f t="shared" si="10"/>
        <v>0</v>
      </c>
      <c r="BM20" s="55"/>
      <c r="BN20" s="55"/>
      <c r="BO20" s="55"/>
      <c r="BP20" s="65">
        <f t="shared" si="17"/>
        <v>0</v>
      </c>
      <c r="BQ20" s="69"/>
      <c r="BR20" s="55"/>
      <c r="BS20" s="55"/>
      <c r="BT20" s="55"/>
      <c r="BU20" s="353"/>
      <c r="BV20" s="347"/>
    </row>
    <row r="21" spans="1:74" x14ac:dyDescent="0.25">
      <c r="A21" s="54" t="s">
        <v>245</v>
      </c>
      <c r="B21" s="58" t="s">
        <v>246</v>
      </c>
      <c r="C21" s="55"/>
      <c r="D21" s="55"/>
      <c r="E21" s="55"/>
      <c r="F21" s="55"/>
      <c r="G21" s="55">
        <v>0</v>
      </c>
      <c r="H21" s="55">
        <v>13353124</v>
      </c>
      <c r="I21" s="55">
        <f t="shared" si="2"/>
        <v>14567044.363636363</v>
      </c>
      <c r="J21" s="55"/>
      <c r="K21" s="55"/>
      <c r="L21" s="55"/>
      <c r="M21" s="55">
        <f t="shared" si="3"/>
        <v>0</v>
      </c>
      <c r="N21" s="54"/>
      <c r="O21" s="55"/>
      <c r="P21" s="55">
        <v>1308455</v>
      </c>
      <c r="Q21" s="55">
        <v>1330526</v>
      </c>
      <c r="R21" s="55"/>
      <c r="S21" s="55"/>
      <c r="T21" s="66"/>
      <c r="U21" s="54"/>
      <c r="V21" s="55">
        <f t="shared" si="4"/>
        <v>0</v>
      </c>
      <c r="W21" s="55">
        <f t="shared" si="5"/>
        <v>0</v>
      </c>
      <c r="X21" s="55"/>
      <c r="Z21" s="140" t="e">
        <f t="shared" si="0"/>
        <v>#DIV/0!</v>
      </c>
      <c r="AA21" s="69">
        <f t="shared" si="6"/>
        <v>0</v>
      </c>
      <c r="AB21" s="55"/>
      <c r="AC21" s="55"/>
      <c r="AD21" s="55"/>
      <c r="AE21" s="122"/>
      <c r="AF21" s="55"/>
      <c r="AG21" s="222"/>
      <c r="AH21" s="55">
        <f t="shared" si="7"/>
        <v>0</v>
      </c>
      <c r="AI21" s="63">
        <f t="shared" si="1"/>
        <v>0</v>
      </c>
      <c r="AJ21" s="52"/>
      <c r="AK21" s="69">
        <f t="shared" si="8"/>
        <v>0</v>
      </c>
      <c r="AM21" s="347"/>
      <c r="AN21" s="353"/>
      <c r="AO21" s="353"/>
      <c r="AP21" s="382"/>
      <c r="AR21" s="381">
        <f t="shared" si="14"/>
        <v>0</v>
      </c>
      <c r="AT21" s="65"/>
      <c r="AU21" s="69"/>
      <c r="AW21" s="382"/>
      <c r="AX21" s="381"/>
      <c r="AY21" s="69">
        <f t="shared" si="13"/>
        <v>0</v>
      </c>
      <c r="AZ21" s="69">
        <f t="shared" si="11"/>
        <v>0</v>
      </c>
      <c r="BA21" s="258">
        <f t="shared" si="12"/>
        <v>0</v>
      </c>
      <c r="BB21" s="501"/>
      <c r="BE21" s="501"/>
      <c r="BF21" s="221"/>
      <c r="BG21" s="515">
        <f t="shared" si="15"/>
        <v>0</v>
      </c>
      <c r="BH21" s="65">
        <f t="shared" si="16"/>
        <v>0</v>
      </c>
      <c r="BI21" s="65">
        <v>15500000</v>
      </c>
      <c r="BJ21" s="55">
        <v>8030832</v>
      </c>
      <c r="BK21" s="65">
        <v>16106360</v>
      </c>
      <c r="BL21" s="69">
        <f t="shared" si="10"/>
        <v>19327632</v>
      </c>
      <c r="BM21" s="55">
        <v>28000000</v>
      </c>
      <c r="BN21" s="55">
        <v>28000000</v>
      </c>
      <c r="BO21" s="55">
        <v>21690186</v>
      </c>
      <c r="BP21" s="65">
        <f t="shared" si="17"/>
        <v>26028223.200000003</v>
      </c>
      <c r="BQ21" s="69">
        <v>26028223</v>
      </c>
      <c r="BR21" s="55">
        <f t="shared" ref="BR21:BT22" si="18">BQ21+BQ18</f>
        <v>26260094</v>
      </c>
      <c r="BS21" s="55">
        <f t="shared" si="18"/>
        <v>26260094</v>
      </c>
      <c r="BT21" s="55">
        <f t="shared" si="18"/>
        <v>26260094</v>
      </c>
      <c r="BU21" s="353">
        <v>25000000</v>
      </c>
      <c r="BV21" s="872">
        <v>28100000</v>
      </c>
    </row>
    <row r="22" spans="1:74" x14ac:dyDescent="0.25">
      <c r="A22" s="54" t="s">
        <v>23</v>
      </c>
      <c r="B22" s="446" t="s">
        <v>190</v>
      </c>
      <c r="C22" s="55">
        <v>2825588.8800000004</v>
      </c>
      <c r="D22" s="55">
        <v>4303343</v>
      </c>
      <c r="E22" s="55">
        <v>4068000.3600000003</v>
      </c>
      <c r="F22" s="55">
        <v>3432784</v>
      </c>
      <c r="G22" s="55">
        <v>4068000</v>
      </c>
      <c r="H22" s="55">
        <v>3820372</v>
      </c>
      <c r="I22" s="55">
        <f t="shared" si="2"/>
        <v>4167678.5454545454</v>
      </c>
      <c r="J22" s="55">
        <v>4068000.3600000003</v>
      </c>
      <c r="K22" s="55">
        <v>4068000.3600000003</v>
      </c>
      <c r="L22" s="55">
        <f>E22</f>
        <v>4068000.3600000003</v>
      </c>
      <c r="M22" s="55">
        <f t="shared" si="3"/>
        <v>97.608304374547828</v>
      </c>
      <c r="N22" s="54"/>
      <c r="O22" s="55">
        <v>4068000</v>
      </c>
      <c r="P22" s="55">
        <v>2832466</v>
      </c>
      <c r="Q22" s="55">
        <v>3141097</v>
      </c>
      <c r="R22" s="55">
        <v>4068000</v>
      </c>
      <c r="S22" s="55">
        <v>4068000</v>
      </c>
      <c r="T22" s="55">
        <v>3765009</v>
      </c>
      <c r="U22" s="55">
        <v>4068000</v>
      </c>
      <c r="V22" s="55">
        <f t="shared" si="4"/>
        <v>4068000</v>
      </c>
      <c r="W22" s="55">
        <f t="shared" si="5"/>
        <v>4068000</v>
      </c>
      <c r="X22" s="55"/>
      <c r="Z22" s="140">
        <f t="shared" si="0"/>
        <v>1.0804755048394306</v>
      </c>
      <c r="AA22" s="69">
        <f t="shared" si="6"/>
        <v>4068000</v>
      </c>
      <c r="AB22" s="55">
        <v>1923267</v>
      </c>
      <c r="AC22" s="55">
        <v>2303605</v>
      </c>
      <c r="AD22" s="55">
        <v>2607793</v>
      </c>
      <c r="AE22" s="122">
        <f>AD22/AA22*100</f>
        <v>64.105039331366768</v>
      </c>
      <c r="AF22" s="55">
        <v>4068000</v>
      </c>
      <c r="AG22" s="222">
        <v>2983088</v>
      </c>
      <c r="AH22" s="55">
        <f t="shared" si="7"/>
        <v>3579705.5999999996</v>
      </c>
      <c r="AI22" s="63">
        <f t="shared" si="1"/>
        <v>3651299.7119999998</v>
      </c>
      <c r="AJ22" s="52"/>
      <c r="AK22" s="69">
        <f t="shared" si="8"/>
        <v>3651299.7119999998</v>
      </c>
      <c r="AM22" s="347">
        <v>3710447</v>
      </c>
      <c r="AN22" s="353"/>
      <c r="AO22" s="353"/>
      <c r="AP22" s="382">
        <v>3651300</v>
      </c>
      <c r="AQ22" s="382">
        <v>2271762</v>
      </c>
      <c r="AR22" s="381">
        <f t="shared" si="14"/>
        <v>1379538</v>
      </c>
      <c r="AS22" s="54">
        <f t="shared" ref="AS22:AS72" si="19">AQ22/AP22*100</f>
        <v>62.217894996302689</v>
      </c>
      <c r="AT22" s="65">
        <v>2720315</v>
      </c>
      <c r="AU22" s="69">
        <f>AP22-AT22</f>
        <v>930985</v>
      </c>
      <c r="AV22" s="54">
        <f>AU22/AP22*100</f>
        <v>25.497357105688383</v>
      </c>
      <c r="AW22" s="382">
        <v>3651300</v>
      </c>
      <c r="AX22" s="381">
        <v>3651300</v>
      </c>
      <c r="AY22" s="69">
        <f t="shared" si="13"/>
        <v>3651300</v>
      </c>
      <c r="AZ22" s="69">
        <f t="shared" si="11"/>
        <v>3651300</v>
      </c>
      <c r="BA22" s="258">
        <f t="shared" si="12"/>
        <v>3651300</v>
      </c>
      <c r="BB22" s="501">
        <v>3651300</v>
      </c>
      <c r="BC22" s="501">
        <v>3651300</v>
      </c>
      <c r="BD22" s="501">
        <v>2083189</v>
      </c>
      <c r="BE22" s="501">
        <v>2673093</v>
      </c>
      <c r="BF22" s="221">
        <v>3072962</v>
      </c>
      <c r="BG22" s="515">
        <f t="shared" si="15"/>
        <v>3687554.4000000004</v>
      </c>
      <c r="BH22" s="65">
        <f t="shared" si="16"/>
        <v>3870378</v>
      </c>
      <c r="BI22" s="65">
        <v>3870378</v>
      </c>
      <c r="BJ22" s="55">
        <v>2251548</v>
      </c>
      <c r="BK22" s="65">
        <v>4431937</v>
      </c>
      <c r="BL22" s="69">
        <f t="shared" si="10"/>
        <v>5318324.4000000004</v>
      </c>
      <c r="BM22" s="55">
        <f>BM21*0.27</f>
        <v>7560000.0000000009</v>
      </c>
      <c r="BN22" s="55">
        <f>BN21*0.27</f>
        <v>7560000.0000000009</v>
      </c>
      <c r="BO22" s="55">
        <v>5863722</v>
      </c>
      <c r="BP22" s="65">
        <f t="shared" si="17"/>
        <v>7036466.3999999994</v>
      </c>
      <c r="BQ22" s="69">
        <v>7036466</v>
      </c>
      <c r="BR22" s="55">
        <f t="shared" si="18"/>
        <v>7069226</v>
      </c>
      <c r="BS22" s="55">
        <f t="shared" si="18"/>
        <v>7069226</v>
      </c>
      <c r="BT22" s="55">
        <f t="shared" si="18"/>
        <v>7069226</v>
      </c>
      <c r="BU22" s="353">
        <v>6000000</v>
      </c>
      <c r="BV22" s="872">
        <v>7577000</v>
      </c>
    </row>
    <row r="23" spans="1:74" x14ac:dyDescent="0.25">
      <c r="A23" s="54" t="s">
        <v>758</v>
      </c>
      <c r="B23" s="446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4"/>
      <c r="O23" s="55"/>
      <c r="P23" s="55"/>
      <c r="Q23" s="55"/>
      <c r="R23" s="55"/>
      <c r="S23" s="55"/>
      <c r="T23" s="55"/>
      <c r="U23" s="55"/>
      <c r="V23" s="55"/>
      <c r="W23" s="55"/>
      <c r="X23" s="55"/>
      <c r="Z23" s="140"/>
      <c r="AA23" s="69"/>
      <c r="AB23" s="55"/>
      <c r="AC23" s="55"/>
      <c r="AD23" s="55"/>
      <c r="AE23" s="122"/>
      <c r="AF23" s="55"/>
      <c r="AG23" s="222"/>
      <c r="AJ23" s="52"/>
      <c r="AK23" s="69"/>
      <c r="AM23" s="347"/>
      <c r="AN23" s="353"/>
      <c r="AO23" s="353"/>
      <c r="AP23" s="382"/>
      <c r="AR23" s="381"/>
      <c r="AT23" s="65"/>
      <c r="AU23" s="69"/>
      <c r="AW23" s="382"/>
      <c r="AX23" s="381"/>
      <c r="AY23" s="69"/>
      <c r="AZ23" s="69"/>
      <c r="BA23" s="258"/>
      <c r="BB23" s="501"/>
      <c r="BE23" s="501"/>
      <c r="BF23" s="221"/>
      <c r="BG23" s="515"/>
      <c r="BI23" s="65"/>
      <c r="BJ23" s="55"/>
      <c r="BK23" s="65"/>
      <c r="BL23" s="69"/>
      <c r="BM23" s="55"/>
      <c r="BN23" s="55"/>
      <c r="BO23" s="55"/>
      <c r="BP23" s="65"/>
      <c r="BQ23" s="69"/>
      <c r="BR23" s="55"/>
      <c r="BS23" s="55"/>
      <c r="BT23" s="55"/>
      <c r="BU23" s="353"/>
      <c r="BV23" s="347"/>
    </row>
    <row r="24" spans="1:74" x14ac:dyDescent="0.25">
      <c r="A24" s="54" t="s">
        <v>24</v>
      </c>
      <c r="B24" s="58" t="s">
        <v>195</v>
      </c>
      <c r="C24" s="55">
        <v>0</v>
      </c>
      <c r="D24" s="55">
        <v>0</v>
      </c>
      <c r="E24" s="55">
        <v>0</v>
      </c>
      <c r="F24" s="55">
        <v>25608</v>
      </c>
      <c r="G24" s="55">
        <v>0</v>
      </c>
      <c r="H24" s="55">
        <v>25608</v>
      </c>
      <c r="I24" s="55">
        <f t="shared" si="2"/>
        <v>27936</v>
      </c>
      <c r="J24" s="55"/>
      <c r="K24" s="55"/>
      <c r="L24" s="55"/>
      <c r="M24" s="55">
        <f t="shared" si="3"/>
        <v>0</v>
      </c>
      <c r="N24" s="54"/>
      <c r="O24" s="55"/>
      <c r="P24" s="55">
        <v>2</v>
      </c>
      <c r="Q24" s="55">
        <v>2</v>
      </c>
      <c r="R24" s="55"/>
      <c r="S24" s="55"/>
      <c r="T24" s="55">
        <v>2</v>
      </c>
      <c r="U24" s="54"/>
      <c r="V24" s="55">
        <f t="shared" si="4"/>
        <v>0</v>
      </c>
      <c r="W24" s="55">
        <f t="shared" si="5"/>
        <v>0</v>
      </c>
      <c r="X24" s="55"/>
      <c r="Z24" s="140">
        <f t="shared" si="0"/>
        <v>0</v>
      </c>
      <c r="AA24" s="69">
        <f t="shared" si="6"/>
        <v>0</v>
      </c>
      <c r="AB24" s="55">
        <v>1</v>
      </c>
      <c r="AC24" s="55">
        <v>1</v>
      </c>
      <c r="AD24" s="55">
        <v>2</v>
      </c>
      <c r="AE24" s="122"/>
      <c r="AF24" s="55"/>
      <c r="AG24" s="222"/>
      <c r="AH24" s="55">
        <f t="shared" si="7"/>
        <v>0</v>
      </c>
      <c r="AI24" s="63">
        <f t="shared" si="1"/>
        <v>0</v>
      </c>
      <c r="AJ24" s="52"/>
      <c r="AK24" s="69">
        <f t="shared" si="8"/>
        <v>0</v>
      </c>
      <c r="AM24" s="347"/>
      <c r="AN24" s="353"/>
      <c r="AO24" s="353"/>
      <c r="AP24" s="382"/>
      <c r="AR24" s="381">
        <f t="shared" si="14"/>
        <v>0</v>
      </c>
      <c r="AT24" s="65"/>
      <c r="AU24" s="69"/>
      <c r="AW24" s="382"/>
      <c r="AX24" s="381"/>
      <c r="AY24" s="69">
        <f t="shared" si="13"/>
        <v>0</v>
      </c>
      <c r="AZ24" s="69">
        <f t="shared" si="11"/>
        <v>0</v>
      </c>
      <c r="BA24" s="258">
        <f t="shared" si="12"/>
        <v>0</v>
      </c>
      <c r="BB24" s="501"/>
      <c r="BE24" s="501"/>
      <c r="BF24" s="221"/>
      <c r="BG24" s="515">
        <f t="shared" si="15"/>
        <v>0</v>
      </c>
      <c r="BH24" s="65">
        <f t="shared" si="16"/>
        <v>0</v>
      </c>
      <c r="BI24" s="65"/>
      <c r="BJ24" s="55"/>
      <c r="BK24" s="65"/>
      <c r="BL24" s="69"/>
      <c r="BM24" s="55"/>
      <c r="BN24" s="55"/>
      <c r="BO24" s="55"/>
      <c r="BP24" s="65">
        <f t="shared" si="17"/>
        <v>0</v>
      </c>
      <c r="BQ24" s="69">
        <f t="shared" ref="BQ24:BQ36" si="20">BP24*1.2</f>
        <v>0</v>
      </c>
      <c r="BR24" s="55"/>
      <c r="BS24" s="55"/>
      <c r="BT24" s="55"/>
      <c r="BU24" s="353"/>
      <c r="BV24" s="347"/>
    </row>
    <row r="25" spans="1:74" x14ac:dyDescent="0.25">
      <c r="A25" s="54" t="s">
        <v>25</v>
      </c>
      <c r="B25" s="446" t="s">
        <v>191</v>
      </c>
      <c r="C25" s="55">
        <v>0</v>
      </c>
      <c r="D25" s="55">
        <v>0</v>
      </c>
      <c r="E25" s="55">
        <v>0</v>
      </c>
      <c r="F25" s="55">
        <f>57</f>
        <v>57</v>
      </c>
      <c r="G25" s="55"/>
      <c r="H25" s="55"/>
      <c r="I25" s="55">
        <f t="shared" si="2"/>
        <v>0</v>
      </c>
      <c r="J25" s="55">
        <v>0</v>
      </c>
      <c r="K25" s="55">
        <v>0</v>
      </c>
      <c r="L25" s="55">
        <v>0</v>
      </c>
      <c r="M25" s="55">
        <f t="shared" si="3"/>
        <v>0</v>
      </c>
      <c r="N25" s="54"/>
      <c r="O25" s="55"/>
      <c r="P25" s="55">
        <v>10000</v>
      </c>
      <c r="Q25" s="55">
        <v>10000</v>
      </c>
      <c r="R25" s="55"/>
      <c r="S25" s="55"/>
      <c r="T25" s="55">
        <v>10000</v>
      </c>
      <c r="U25" s="54"/>
      <c r="V25" s="55">
        <f t="shared" si="4"/>
        <v>0</v>
      </c>
      <c r="W25" s="55">
        <f t="shared" si="5"/>
        <v>0</v>
      </c>
      <c r="X25" s="55"/>
      <c r="Z25" s="140">
        <f t="shared" si="0"/>
        <v>0</v>
      </c>
      <c r="AA25" s="69">
        <f t="shared" si="6"/>
        <v>0</v>
      </c>
      <c r="AB25" s="55"/>
      <c r="AC25" s="55"/>
      <c r="AD25" s="55"/>
      <c r="AE25" s="122"/>
      <c r="AF25" s="55"/>
      <c r="AG25" s="222"/>
      <c r="AH25" s="55">
        <f t="shared" si="7"/>
        <v>0</v>
      </c>
      <c r="AI25" s="63">
        <f t="shared" si="1"/>
        <v>0</v>
      </c>
      <c r="AJ25" s="52"/>
      <c r="AK25" s="69">
        <f t="shared" si="8"/>
        <v>0</v>
      </c>
      <c r="AM25" s="347"/>
      <c r="AN25" s="353"/>
      <c r="AO25" s="353"/>
      <c r="AP25" s="382"/>
      <c r="AR25" s="381">
        <f t="shared" si="14"/>
        <v>0</v>
      </c>
      <c r="AT25" s="65"/>
      <c r="AU25" s="69"/>
      <c r="AW25" s="382"/>
      <c r="AX25" s="381"/>
      <c r="AY25" s="69">
        <f t="shared" si="13"/>
        <v>0</v>
      </c>
      <c r="AZ25" s="69">
        <f t="shared" si="11"/>
        <v>0</v>
      </c>
      <c r="BA25" s="258">
        <f t="shared" si="12"/>
        <v>0</v>
      </c>
      <c r="BB25" s="501"/>
      <c r="BE25" s="501"/>
      <c r="BF25" s="221"/>
      <c r="BG25" s="515">
        <f t="shared" si="15"/>
        <v>0</v>
      </c>
      <c r="BH25" s="65">
        <f t="shared" si="16"/>
        <v>0</v>
      </c>
      <c r="BI25" s="65"/>
      <c r="BJ25" s="55"/>
      <c r="BK25" s="65"/>
      <c r="BL25" s="69">
        <f t="shared" si="10"/>
        <v>0</v>
      </c>
      <c r="BM25" s="55"/>
      <c r="BN25" s="55"/>
      <c r="BO25" s="55"/>
      <c r="BP25" s="65">
        <f t="shared" si="17"/>
        <v>0</v>
      </c>
      <c r="BQ25" s="69">
        <f t="shared" si="20"/>
        <v>0</v>
      </c>
      <c r="BR25" s="55"/>
      <c r="BS25" s="55"/>
      <c r="BT25" s="55"/>
      <c r="BU25" s="353"/>
      <c r="BV25" s="347"/>
    </row>
    <row r="26" spans="1:74" x14ac:dyDescent="0.25">
      <c r="A26" s="54" t="s">
        <v>326</v>
      </c>
      <c r="B26" s="446" t="s">
        <v>327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4"/>
      <c r="O26" s="55"/>
      <c r="P26" s="55"/>
      <c r="Q26" s="55"/>
      <c r="R26" s="55"/>
      <c r="S26" s="55"/>
      <c r="T26" s="55"/>
      <c r="U26" s="54"/>
      <c r="V26" s="55">
        <f t="shared" si="4"/>
        <v>0</v>
      </c>
      <c r="W26" s="55">
        <f t="shared" si="5"/>
        <v>0</v>
      </c>
      <c r="X26" s="55"/>
      <c r="Z26" s="140" t="e">
        <f t="shared" si="0"/>
        <v>#DIV/0!</v>
      </c>
      <c r="AA26" s="69">
        <f t="shared" si="6"/>
        <v>0</v>
      </c>
      <c r="AB26" s="55"/>
      <c r="AC26" s="55"/>
      <c r="AD26" s="55"/>
      <c r="AE26" s="122"/>
      <c r="AF26" s="55"/>
      <c r="AG26" s="222"/>
      <c r="AH26" s="55">
        <f t="shared" si="7"/>
        <v>0</v>
      </c>
      <c r="AI26" s="63">
        <f t="shared" si="1"/>
        <v>0</v>
      </c>
      <c r="AJ26" s="52"/>
      <c r="AK26" s="69">
        <f t="shared" si="8"/>
        <v>0</v>
      </c>
      <c r="AM26" s="347"/>
      <c r="AN26" s="353"/>
      <c r="AO26" s="353"/>
      <c r="AP26" s="382"/>
      <c r="AR26" s="381">
        <f t="shared" si="14"/>
        <v>0</v>
      </c>
      <c r="AT26" s="65"/>
      <c r="AU26" s="69"/>
      <c r="AW26" s="382"/>
      <c r="AX26" s="381"/>
      <c r="AY26" s="69">
        <f t="shared" si="13"/>
        <v>0</v>
      </c>
      <c r="AZ26" s="69">
        <f t="shared" si="11"/>
        <v>0</v>
      </c>
      <c r="BA26" s="258">
        <f t="shared" si="12"/>
        <v>0</v>
      </c>
      <c r="BB26" s="501"/>
      <c r="BE26" s="501"/>
      <c r="BF26" s="221"/>
      <c r="BG26" s="515">
        <f t="shared" si="15"/>
        <v>0</v>
      </c>
      <c r="BH26" s="65">
        <f t="shared" si="16"/>
        <v>0</v>
      </c>
      <c r="BI26" s="65"/>
      <c r="BJ26" s="55"/>
      <c r="BK26" s="65"/>
      <c r="BL26" s="69">
        <f t="shared" si="10"/>
        <v>0</v>
      </c>
      <c r="BM26" s="55"/>
      <c r="BN26" s="55"/>
      <c r="BO26" s="55"/>
      <c r="BP26" s="65">
        <f t="shared" si="17"/>
        <v>0</v>
      </c>
      <c r="BQ26" s="69">
        <f t="shared" si="20"/>
        <v>0</v>
      </c>
      <c r="BR26" s="55"/>
      <c r="BS26" s="55"/>
      <c r="BT26" s="55"/>
      <c r="BU26" s="353"/>
      <c r="BV26" s="347"/>
    </row>
    <row r="27" spans="1:74" x14ac:dyDescent="0.25">
      <c r="A27" s="54" t="s">
        <v>247</v>
      </c>
      <c r="B27" s="446" t="s">
        <v>248</v>
      </c>
      <c r="C27" s="55"/>
      <c r="D27" s="55"/>
      <c r="E27" s="55"/>
      <c r="F27" s="55"/>
      <c r="G27" s="55"/>
      <c r="H27" s="55"/>
      <c r="I27" s="55">
        <f t="shared" si="2"/>
        <v>0</v>
      </c>
      <c r="J27" s="55"/>
      <c r="K27" s="55"/>
      <c r="L27" s="55"/>
      <c r="M27" s="55">
        <f t="shared" si="3"/>
        <v>0</v>
      </c>
      <c r="N27" s="54"/>
      <c r="O27" s="55"/>
      <c r="P27" s="55"/>
      <c r="Q27" s="55"/>
      <c r="R27" s="55"/>
      <c r="S27" s="55"/>
      <c r="T27" s="55"/>
      <c r="U27" s="54"/>
      <c r="V27" s="55">
        <f t="shared" si="4"/>
        <v>0</v>
      </c>
      <c r="W27" s="55">
        <f t="shared" si="5"/>
        <v>0</v>
      </c>
      <c r="X27" s="55"/>
      <c r="Z27" s="140" t="e">
        <f t="shared" si="0"/>
        <v>#DIV/0!</v>
      </c>
      <c r="AA27" s="69">
        <f t="shared" si="6"/>
        <v>0</v>
      </c>
      <c r="AB27" s="55"/>
      <c r="AC27" s="55"/>
      <c r="AD27" s="55"/>
      <c r="AE27" s="122"/>
      <c r="AF27" s="55"/>
      <c r="AG27" s="222"/>
      <c r="AH27" s="55">
        <f t="shared" si="7"/>
        <v>0</v>
      </c>
      <c r="AI27" s="63">
        <f t="shared" si="1"/>
        <v>0</v>
      </c>
      <c r="AJ27" s="52"/>
      <c r="AK27" s="69">
        <f t="shared" si="8"/>
        <v>0</v>
      </c>
      <c r="AM27" s="347"/>
      <c r="AN27" s="353"/>
      <c r="AO27" s="353"/>
      <c r="AP27" s="382"/>
      <c r="AR27" s="381">
        <f t="shared" si="14"/>
        <v>0</v>
      </c>
      <c r="AT27" s="65"/>
      <c r="AU27" s="69"/>
      <c r="AW27" s="382"/>
      <c r="AX27" s="381"/>
      <c r="AY27" s="69">
        <f t="shared" si="13"/>
        <v>0</v>
      </c>
      <c r="AZ27" s="69">
        <f t="shared" si="11"/>
        <v>0</v>
      </c>
      <c r="BA27" s="258">
        <f t="shared" si="12"/>
        <v>0</v>
      </c>
      <c r="BB27" s="501"/>
      <c r="BE27" s="501"/>
      <c r="BF27" s="221"/>
      <c r="BG27" s="515">
        <f t="shared" si="15"/>
        <v>0</v>
      </c>
      <c r="BH27" s="65">
        <f t="shared" si="16"/>
        <v>0</v>
      </c>
      <c r="BI27" s="65"/>
      <c r="BJ27" s="55"/>
      <c r="BK27" s="65"/>
      <c r="BL27" s="69">
        <f t="shared" si="10"/>
        <v>0</v>
      </c>
      <c r="BM27" s="55"/>
      <c r="BN27" s="55"/>
      <c r="BO27" s="55"/>
      <c r="BP27" s="65">
        <f t="shared" si="17"/>
        <v>0</v>
      </c>
      <c r="BQ27" s="69">
        <f t="shared" si="20"/>
        <v>0</v>
      </c>
      <c r="BR27" s="55"/>
      <c r="BS27" s="55"/>
      <c r="BT27" s="55"/>
      <c r="BU27" s="353"/>
      <c r="BV27" s="347"/>
    </row>
    <row r="28" spans="1:74" x14ac:dyDescent="0.25">
      <c r="A28" s="54" t="s">
        <v>249</v>
      </c>
      <c r="B28" s="446" t="s">
        <v>250</v>
      </c>
      <c r="C28" s="55"/>
      <c r="D28" s="55"/>
      <c r="E28" s="55"/>
      <c r="F28" s="55"/>
      <c r="G28" s="55"/>
      <c r="H28" s="55"/>
      <c r="I28" s="55">
        <f t="shared" si="2"/>
        <v>0</v>
      </c>
      <c r="J28" s="55"/>
      <c r="K28" s="55"/>
      <c r="L28" s="55"/>
      <c r="M28" s="55">
        <f t="shared" si="3"/>
        <v>0</v>
      </c>
      <c r="N28" s="54"/>
      <c r="O28" s="55"/>
      <c r="P28" s="55"/>
      <c r="Q28" s="55"/>
      <c r="R28" s="55"/>
      <c r="S28" s="55"/>
      <c r="T28" s="55"/>
      <c r="U28" s="54"/>
      <c r="V28" s="55">
        <f t="shared" si="4"/>
        <v>0</v>
      </c>
      <c r="W28" s="55">
        <f t="shared" si="5"/>
        <v>0</v>
      </c>
      <c r="X28" s="55"/>
      <c r="Z28" s="140" t="e">
        <f t="shared" si="0"/>
        <v>#DIV/0!</v>
      </c>
      <c r="AA28" s="69">
        <f t="shared" si="6"/>
        <v>0</v>
      </c>
      <c r="AB28" s="55"/>
      <c r="AC28" s="55"/>
      <c r="AD28" s="55"/>
      <c r="AE28" s="122"/>
      <c r="AF28" s="55"/>
      <c r="AG28" s="222"/>
      <c r="AH28" s="55">
        <f t="shared" si="7"/>
        <v>0</v>
      </c>
      <c r="AI28" s="63">
        <f t="shared" si="1"/>
        <v>0</v>
      </c>
      <c r="AJ28" s="52"/>
      <c r="AK28" s="69">
        <f t="shared" si="8"/>
        <v>0</v>
      </c>
      <c r="AM28" s="347"/>
      <c r="AN28" s="353"/>
      <c r="AO28" s="353"/>
      <c r="AP28" s="382"/>
      <c r="AR28" s="381">
        <f t="shared" si="14"/>
        <v>0</v>
      </c>
      <c r="AT28" s="65"/>
      <c r="AU28" s="69"/>
      <c r="AW28" s="382"/>
      <c r="AX28" s="381"/>
      <c r="AY28" s="69">
        <f t="shared" si="13"/>
        <v>0</v>
      </c>
      <c r="AZ28" s="69">
        <f t="shared" si="11"/>
        <v>0</v>
      </c>
      <c r="BA28" s="258">
        <f t="shared" si="12"/>
        <v>0</v>
      </c>
      <c r="BB28" s="501"/>
      <c r="BE28" s="501"/>
      <c r="BF28" s="221"/>
      <c r="BG28" s="515">
        <f t="shared" si="15"/>
        <v>0</v>
      </c>
      <c r="BH28" s="65">
        <f t="shared" si="16"/>
        <v>0</v>
      </c>
      <c r="BI28" s="65"/>
      <c r="BJ28" s="55"/>
      <c r="BK28" s="65"/>
      <c r="BL28" s="69">
        <f t="shared" si="10"/>
        <v>0</v>
      </c>
      <c r="BM28" s="55"/>
      <c r="BN28" s="55"/>
      <c r="BO28" s="55"/>
      <c r="BP28" s="65">
        <f t="shared" si="17"/>
        <v>0</v>
      </c>
      <c r="BQ28" s="69">
        <f t="shared" si="20"/>
        <v>0</v>
      </c>
      <c r="BR28" s="55"/>
      <c r="BS28" s="55"/>
      <c r="BT28" s="55"/>
      <c r="BU28" s="353"/>
      <c r="BV28" s="347"/>
    </row>
    <row r="29" spans="1:74" x14ac:dyDescent="0.25">
      <c r="A29" s="54" t="s">
        <v>251</v>
      </c>
      <c r="B29" s="446" t="s">
        <v>252</v>
      </c>
      <c r="C29" s="55"/>
      <c r="D29" s="55"/>
      <c r="E29" s="55"/>
      <c r="F29" s="55"/>
      <c r="G29" s="55"/>
      <c r="H29" s="55"/>
      <c r="I29" s="55">
        <f t="shared" si="2"/>
        <v>0</v>
      </c>
      <c r="J29" s="55"/>
      <c r="K29" s="55"/>
      <c r="L29" s="55"/>
      <c r="M29" s="55">
        <f t="shared" si="3"/>
        <v>0</v>
      </c>
      <c r="N29" s="54"/>
      <c r="O29" s="55"/>
      <c r="P29" s="55"/>
      <c r="Q29" s="55"/>
      <c r="R29" s="55"/>
      <c r="S29" s="55"/>
      <c r="T29" s="55"/>
      <c r="U29" s="54"/>
      <c r="V29" s="55">
        <f t="shared" si="4"/>
        <v>0</v>
      </c>
      <c r="W29" s="55">
        <f t="shared" si="5"/>
        <v>0</v>
      </c>
      <c r="X29" s="55"/>
      <c r="Z29" s="140" t="e">
        <f t="shared" si="0"/>
        <v>#DIV/0!</v>
      </c>
      <c r="AA29" s="69">
        <f t="shared" si="6"/>
        <v>0</v>
      </c>
      <c r="AB29" s="55"/>
      <c r="AC29" s="55"/>
      <c r="AD29" s="55"/>
      <c r="AE29" s="122"/>
      <c r="AF29" s="55"/>
      <c r="AG29" s="222"/>
      <c r="AH29" s="55">
        <f t="shared" si="7"/>
        <v>0</v>
      </c>
      <c r="AI29" s="63">
        <f t="shared" si="1"/>
        <v>0</v>
      </c>
      <c r="AJ29" s="52"/>
      <c r="AK29" s="69">
        <f t="shared" si="8"/>
        <v>0</v>
      </c>
      <c r="AM29" s="347"/>
      <c r="AN29" s="353"/>
      <c r="AO29" s="353"/>
      <c r="AP29" s="382"/>
      <c r="AR29" s="381">
        <f t="shared" si="14"/>
        <v>0</v>
      </c>
      <c r="AT29" s="65"/>
      <c r="AU29" s="69"/>
      <c r="AW29" s="382"/>
      <c r="AX29" s="381"/>
      <c r="AY29" s="69">
        <f t="shared" si="13"/>
        <v>0</v>
      </c>
      <c r="AZ29" s="69">
        <f t="shared" si="11"/>
        <v>0</v>
      </c>
      <c r="BA29" s="258">
        <f t="shared" si="12"/>
        <v>0</v>
      </c>
      <c r="BB29" s="501"/>
      <c r="BE29" s="501"/>
      <c r="BF29" s="221"/>
      <c r="BG29" s="515">
        <f t="shared" si="15"/>
        <v>0</v>
      </c>
      <c r="BH29" s="65">
        <f t="shared" si="16"/>
        <v>0</v>
      </c>
      <c r="BI29" s="65"/>
      <c r="BJ29" s="55"/>
      <c r="BK29" s="65"/>
      <c r="BL29" s="69">
        <f t="shared" si="10"/>
        <v>0</v>
      </c>
      <c r="BM29" s="55"/>
      <c r="BN29" s="55"/>
      <c r="BO29" s="55"/>
      <c r="BP29" s="65">
        <f t="shared" si="17"/>
        <v>0</v>
      </c>
      <c r="BQ29" s="69">
        <f t="shared" si="20"/>
        <v>0</v>
      </c>
      <c r="BR29" s="55"/>
      <c r="BS29" s="55"/>
      <c r="BT29" s="55"/>
      <c r="BU29" s="353"/>
      <c r="BV29" s="347"/>
    </row>
    <row r="30" spans="1:74" x14ac:dyDescent="0.25">
      <c r="A30" s="54" t="s">
        <v>235</v>
      </c>
      <c r="B30" s="446" t="s">
        <v>236</v>
      </c>
      <c r="C30" s="55"/>
      <c r="D30" s="55"/>
      <c r="E30" s="55"/>
      <c r="F30" s="55"/>
      <c r="G30" s="55"/>
      <c r="H30" s="55"/>
      <c r="I30" s="55">
        <f t="shared" si="2"/>
        <v>0</v>
      </c>
      <c r="J30" s="55"/>
      <c r="K30" s="55"/>
      <c r="L30" s="55"/>
      <c r="M30" s="55">
        <f t="shared" si="3"/>
        <v>0</v>
      </c>
      <c r="N30" s="54"/>
      <c r="O30" s="55"/>
      <c r="P30" s="55"/>
      <c r="Q30" s="55"/>
      <c r="R30" s="55"/>
      <c r="S30" s="55"/>
      <c r="T30" s="55">
        <v>12500</v>
      </c>
      <c r="U30" s="54"/>
      <c r="V30" s="55">
        <f t="shared" si="4"/>
        <v>0</v>
      </c>
      <c r="W30" s="55">
        <f t="shared" si="5"/>
        <v>0</v>
      </c>
      <c r="X30" s="55"/>
      <c r="Z30" s="140">
        <f t="shared" si="0"/>
        <v>0</v>
      </c>
      <c r="AA30" s="69">
        <f t="shared" si="6"/>
        <v>0</v>
      </c>
      <c r="AB30" s="55">
        <v>75000</v>
      </c>
      <c r="AC30" s="55">
        <v>100000</v>
      </c>
      <c r="AD30" s="55">
        <v>112500</v>
      </c>
      <c r="AE30" s="122"/>
      <c r="AF30" s="55"/>
      <c r="AG30" s="222">
        <v>125000</v>
      </c>
      <c r="AI30" s="63">
        <v>125000</v>
      </c>
      <c r="AJ30" s="52"/>
      <c r="AK30" s="69">
        <f t="shared" si="8"/>
        <v>125000</v>
      </c>
      <c r="AM30" s="347">
        <v>150000</v>
      </c>
      <c r="AN30" s="353"/>
      <c r="AO30" s="353"/>
      <c r="AP30" s="382">
        <v>125000</v>
      </c>
      <c r="AQ30" s="382">
        <v>137500</v>
      </c>
      <c r="AR30" s="382">
        <v>137500</v>
      </c>
      <c r="AS30" s="382">
        <v>137500</v>
      </c>
      <c r="AT30" s="382">
        <v>137500</v>
      </c>
      <c r="AU30" s="69">
        <f>AP30-AT30</f>
        <v>-12500</v>
      </c>
      <c r="AV30" s="54">
        <f>AU30/AP30*100</f>
        <v>-10</v>
      </c>
      <c r="AW30" s="382">
        <v>125000</v>
      </c>
      <c r="AX30" s="381"/>
      <c r="AY30" s="69">
        <f t="shared" si="13"/>
        <v>0</v>
      </c>
      <c r="AZ30" s="69">
        <f t="shared" si="11"/>
        <v>0</v>
      </c>
      <c r="BA30" s="258">
        <f t="shared" si="12"/>
        <v>0</v>
      </c>
      <c r="BB30" s="501"/>
      <c r="BE30" s="501"/>
      <c r="BF30" s="221"/>
      <c r="BG30" s="515">
        <f t="shared" si="15"/>
        <v>0</v>
      </c>
      <c r="BH30" s="65">
        <f t="shared" si="16"/>
        <v>0</v>
      </c>
      <c r="BI30" s="65"/>
      <c r="BJ30" s="55"/>
      <c r="BK30" s="65"/>
      <c r="BL30" s="69">
        <f t="shared" si="10"/>
        <v>0</v>
      </c>
      <c r="BM30" s="55"/>
      <c r="BN30" s="55"/>
      <c r="BO30" s="55"/>
      <c r="BP30" s="65">
        <f t="shared" si="17"/>
        <v>0</v>
      </c>
      <c r="BQ30" s="69">
        <f t="shared" si="20"/>
        <v>0</v>
      </c>
      <c r="BR30" s="55"/>
      <c r="BS30" s="55"/>
      <c r="BT30" s="55"/>
      <c r="BU30" s="353"/>
      <c r="BV30" s="347"/>
    </row>
    <row r="31" spans="1:74" x14ac:dyDescent="0.25">
      <c r="A31" s="54" t="s">
        <v>26</v>
      </c>
      <c r="B31" s="58" t="s">
        <v>196</v>
      </c>
      <c r="C31" s="55">
        <v>0</v>
      </c>
      <c r="D31" s="55">
        <v>37500</v>
      </c>
      <c r="E31" s="55">
        <v>0</v>
      </c>
      <c r="F31" s="55">
        <f>208340</f>
        <v>208340</v>
      </c>
      <c r="G31" s="55"/>
      <c r="H31" s="55"/>
      <c r="I31" s="55">
        <f t="shared" si="2"/>
        <v>0</v>
      </c>
      <c r="J31" s="55"/>
      <c r="K31" s="55"/>
      <c r="L31" s="55"/>
      <c r="M31" s="55">
        <f t="shared" si="3"/>
        <v>0</v>
      </c>
      <c r="N31" s="54"/>
      <c r="O31" s="55"/>
      <c r="P31" s="55"/>
      <c r="Q31" s="55"/>
      <c r="R31" s="55"/>
      <c r="S31" s="55"/>
      <c r="T31" s="55"/>
      <c r="U31" s="54"/>
      <c r="V31" s="55">
        <f t="shared" si="4"/>
        <v>0</v>
      </c>
      <c r="W31" s="55">
        <f t="shared" si="5"/>
        <v>0</v>
      </c>
      <c r="X31" s="55"/>
      <c r="Z31" s="140" t="e">
        <f t="shared" si="0"/>
        <v>#DIV/0!</v>
      </c>
      <c r="AA31" s="69">
        <f t="shared" si="6"/>
        <v>0</v>
      </c>
      <c r="AB31" s="55"/>
      <c r="AC31" s="55"/>
      <c r="AD31" s="55"/>
      <c r="AE31" s="122"/>
      <c r="AF31" s="55"/>
      <c r="AG31" s="222"/>
      <c r="AH31" s="55">
        <f t="shared" si="7"/>
        <v>0</v>
      </c>
      <c r="AI31" s="63">
        <f t="shared" si="1"/>
        <v>0</v>
      </c>
      <c r="AJ31" s="52"/>
      <c r="AK31" s="69">
        <f t="shared" si="8"/>
        <v>0</v>
      </c>
      <c r="AM31" s="347"/>
      <c r="AN31" s="353"/>
      <c r="AO31" s="353"/>
      <c r="AP31" s="382"/>
      <c r="AR31" s="381">
        <f t="shared" si="14"/>
        <v>0</v>
      </c>
      <c r="AT31" s="65"/>
      <c r="AU31" s="69"/>
      <c r="AW31" s="382"/>
      <c r="AX31" s="381"/>
      <c r="AY31" s="69">
        <f t="shared" si="13"/>
        <v>0</v>
      </c>
      <c r="AZ31" s="69">
        <f t="shared" si="11"/>
        <v>0</v>
      </c>
      <c r="BA31" s="258">
        <f t="shared" si="12"/>
        <v>0</v>
      </c>
      <c r="BB31" s="501"/>
      <c r="BE31" s="501"/>
      <c r="BF31" s="221"/>
      <c r="BG31" s="515">
        <f t="shared" si="15"/>
        <v>0</v>
      </c>
      <c r="BH31" s="65">
        <f t="shared" si="16"/>
        <v>0</v>
      </c>
      <c r="BI31" s="65"/>
      <c r="BJ31" s="55"/>
      <c r="BK31" s="65"/>
      <c r="BL31" s="69">
        <f t="shared" si="10"/>
        <v>0</v>
      </c>
      <c r="BM31" s="55"/>
      <c r="BN31" s="55"/>
      <c r="BO31" s="55"/>
      <c r="BP31" s="65">
        <f t="shared" si="17"/>
        <v>0</v>
      </c>
      <c r="BQ31" s="69">
        <f t="shared" si="20"/>
        <v>0</v>
      </c>
      <c r="BR31" s="55"/>
      <c r="BS31" s="55"/>
      <c r="BT31" s="55"/>
      <c r="BU31" s="353"/>
      <c r="BV31" s="347"/>
    </row>
    <row r="32" spans="1:74" x14ac:dyDescent="0.25">
      <c r="A32" s="54" t="s">
        <v>241</v>
      </c>
      <c r="B32" s="58" t="s">
        <v>242</v>
      </c>
      <c r="C32" s="55"/>
      <c r="D32" s="55"/>
      <c r="E32" s="55"/>
      <c r="F32" s="55"/>
      <c r="G32" s="55">
        <v>0</v>
      </c>
      <c r="H32" s="55">
        <v>229231</v>
      </c>
      <c r="I32" s="55">
        <f t="shared" si="2"/>
        <v>250070.18181818182</v>
      </c>
      <c r="J32" s="55"/>
      <c r="K32" s="55"/>
      <c r="L32" s="55"/>
      <c r="M32" s="55">
        <f t="shared" si="3"/>
        <v>0</v>
      </c>
      <c r="N32" s="54"/>
      <c r="O32" s="55"/>
      <c r="P32" s="55">
        <v>199992</v>
      </c>
      <c r="Q32" s="55">
        <v>212492</v>
      </c>
      <c r="R32" s="55"/>
      <c r="S32" s="55"/>
      <c r="T32" s="55">
        <v>212492</v>
      </c>
      <c r="U32" s="55">
        <f>12500*12</f>
        <v>150000</v>
      </c>
      <c r="V32" s="55">
        <f t="shared" si="4"/>
        <v>150000</v>
      </c>
      <c r="W32" s="55">
        <f t="shared" si="5"/>
        <v>150000</v>
      </c>
      <c r="X32" s="55"/>
      <c r="Z32" s="140">
        <f t="shared" si="0"/>
        <v>0.70590892833612562</v>
      </c>
      <c r="AA32" s="69">
        <f t="shared" si="6"/>
        <v>150000</v>
      </c>
      <c r="AB32" s="55"/>
      <c r="AC32" s="55">
        <v>0</v>
      </c>
      <c r="AD32" s="55"/>
      <c r="AE32" s="122">
        <f>AD32/AA32*100</f>
        <v>0</v>
      </c>
      <c r="AF32" s="55">
        <v>150000</v>
      </c>
      <c r="AG32" s="222"/>
      <c r="AH32" s="55">
        <f t="shared" si="7"/>
        <v>0</v>
      </c>
      <c r="AI32" s="63">
        <f t="shared" si="1"/>
        <v>0</v>
      </c>
      <c r="AJ32" s="52"/>
      <c r="AK32" s="69">
        <f t="shared" si="8"/>
        <v>0</v>
      </c>
      <c r="AM32" s="347"/>
      <c r="AN32" s="353"/>
      <c r="AO32" s="353"/>
      <c r="AP32" s="382"/>
      <c r="AR32" s="381">
        <f t="shared" si="14"/>
        <v>0</v>
      </c>
      <c r="AT32" s="65"/>
      <c r="AU32" s="69"/>
      <c r="AW32" s="382"/>
      <c r="AX32" s="381"/>
      <c r="AY32" s="69">
        <f t="shared" si="13"/>
        <v>0</v>
      </c>
      <c r="AZ32" s="69">
        <f t="shared" si="11"/>
        <v>0</v>
      </c>
      <c r="BA32" s="258">
        <f t="shared" si="12"/>
        <v>0</v>
      </c>
      <c r="BB32" s="501"/>
      <c r="BE32" s="501"/>
      <c r="BF32" s="221"/>
      <c r="BG32" s="515">
        <f t="shared" si="15"/>
        <v>0</v>
      </c>
      <c r="BH32" s="65">
        <f t="shared" si="16"/>
        <v>0</v>
      </c>
      <c r="BI32" s="65"/>
      <c r="BJ32" s="55"/>
      <c r="BK32" s="65"/>
      <c r="BL32" s="69">
        <f t="shared" si="10"/>
        <v>0</v>
      </c>
      <c r="BM32" s="55"/>
      <c r="BN32" s="55"/>
      <c r="BO32" s="55"/>
      <c r="BP32" s="65">
        <f t="shared" si="17"/>
        <v>0</v>
      </c>
      <c r="BQ32" s="69">
        <f t="shared" si="20"/>
        <v>0</v>
      </c>
      <c r="BR32" s="55"/>
      <c r="BS32" s="55"/>
      <c r="BT32" s="55"/>
      <c r="BU32" s="353"/>
      <c r="BV32" s="347"/>
    </row>
    <row r="33" spans="1:94" x14ac:dyDescent="0.25">
      <c r="A33" s="54" t="s">
        <v>253</v>
      </c>
      <c r="B33" s="58" t="s">
        <v>254</v>
      </c>
      <c r="C33" s="55"/>
      <c r="D33" s="55"/>
      <c r="E33" s="55"/>
      <c r="F33" s="55"/>
      <c r="G33" s="55"/>
      <c r="H33" s="55"/>
      <c r="I33" s="55">
        <f t="shared" si="2"/>
        <v>0</v>
      </c>
      <c r="J33" s="55"/>
      <c r="K33" s="55"/>
      <c r="L33" s="55"/>
      <c r="M33" s="55">
        <f t="shared" si="3"/>
        <v>0</v>
      </c>
      <c r="N33" s="54"/>
      <c r="O33" s="55"/>
      <c r="P33" s="55"/>
      <c r="Q33" s="55"/>
      <c r="R33" s="55"/>
      <c r="S33" s="55"/>
      <c r="T33" s="55"/>
      <c r="U33" s="54"/>
      <c r="V33" s="55">
        <f t="shared" si="4"/>
        <v>0</v>
      </c>
      <c r="W33" s="55">
        <f t="shared" si="5"/>
        <v>0</v>
      </c>
      <c r="X33" s="55"/>
      <c r="Z33" s="140" t="e">
        <f t="shared" si="0"/>
        <v>#DIV/0!</v>
      </c>
      <c r="AA33" s="69">
        <f t="shared" si="6"/>
        <v>0</v>
      </c>
      <c r="AB33" s="55"/>
      <c r="AC33" s="55"/>
      <c r="AD33" s="55"/>
      <c r="AE33" s="122"/>
      <c r="AF33" s="55"/>
      <c r="AG33" s="222"/>
      <c r="AH33" s="55">
        <f t="shared" si="7"/>
        <v>0</v>
      </c>
      <c r="AI33" s="63">
        <f t="shared" si="1"/>
        <v>0</v>
      </c>
      <c r="AJ33" s="52"/>
      <c r="AK33" s="69">
        <f t="shared" si="8"/>
        <v>0</v>
      </c>
      <c r="AM33" s="347"/>
      <c r="AN33" s="353"/>
      <c r="AO33" s="353"/>
      <c r="AP33" s="382"/>
      <c r="AR33" s="381">
        <f t="shared" si="14"/>
        <v>0</v>
      </c>
      <c r="AT33" s="65"/>
      <c r="AU33" s="69"/>
      <c r="AW33" s="382"/>
      <c r="AX33" s="381"/>
      <c r="AY33" s="69">
        <f t="shared" si="13"/>
        <v>0</v>
      </c>
      <c r="AZ33" s="69">
        <f t="shared" si="11"/>
        <v>0</v>
      </c>
      <c r="BA33" s="258">
        <f t="shared" si="12"/>
        <v>0</v>
      </c>
      <c r="BB33" s="501"/>
      <c r="BE33" s="501"/>
      <c r="BF33" s="221"/>
      <c r="BG33" s="515">
        <f t="shared" si="15"/>
        <v>0</v>
      </c>
      <c r="BH33" s="65">
        <f t="shared" si="16"/>
        <v>0</v>
      </c>
      <c r="BI33" s="65"/>
      <c r="BJ33" s="55"/>
      <c r="BK33" s="65"/>
      <c r="BL33" s="69">
        <f t="shared" si="10"/>
        <v>0</v>
      </c>
      <c r="BM33" s="55"/>
      <c r="BN33" s="55"/>
      <c r="BO33" s="55"/>
      <c r="BP33" s="65">
        <f t="shared" si="17"/>
        <v>0</v>
      </c>
      <c r="BQ33" s="69">
        <f t="shared" si="20"/>
        <v>0</v>
      </c>
      <c r="BR33" s="55"/>
      <c r="BS33" s="55"/>
      <c r="BT33" s="55"/>
      <c r="BU33" s="353"/>
      <c r="BV33" s="347"/>
    </row>
    <row r="34" spans="1:94" x14ac:dyDescent="0.25">
      <c r="A34" s="54" t="s">
        <v>663</v>
      </c>
      <c r="B34" s="58" t="s">
        <v>664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4"/>
      <c r="O34" s="55"/>
      <c r="P34" s="55"/>
      <c r="Q34" s="55"/>
      <c r="R34" s="55"/>
      <c r="S34" s="55"/>
      <c r="T34" s="55"/>
      <c r="U34" s="54"/>
      <c r="V34" s="55"/>
      <c r="W34" s="55"/>
      <c r="X34" s="55"/>
      <c r="Z34" s="140"/>
      <c r="AA34" s="69"/>
      <c r="AB34" s="55"/>
      <c r="AC34" s="55"/>
      <c r="AD34" s="55"/>
      <c r="AE34" s="122"/>
      <c r="AF34" s="55"/>
      <c r="AG34" s="222"/>
      <c r="AJ34" s="52"/>
      <c r="AK34" s="69"/>
      <c r="AM34" s="347"/>
      <c r="AN34" s="353"/>
      <c r="AO34" s="353"/>
      <c r="AP34" s="382"/>
      <c r="AR34" s="382"/>
      <c r="AS34" s="259"/>
      <c r="AT34" s="222"/>
      <c r="AU34" s="69"/>
      <c r="AW34" s="382"/>
      <c r="AX34" s="381"/>
      <c r="AY34" s="69"/>
      <c r="AZ34" s="69"/>
      <c r="BA34" s="258"/>
      <c r="BB34" s="501"/>
      <c r="BE34" s="501"/>
      <c r="BF34" s="221"/>
      <c r="BG34" s="515"/>
      <c r="BI34" s="65"/>
      <c r="BJ34" s="55"/>
      <c r="BK34" s="65"/>
      <c r="BL34" s="69"/>
      <c r="BM34" s="55"/>
      <c r="BN34" s="55"/>
      <c r="BO34" s="55"/>
      <c r="BP34" s="65">
        <f t="shared" si="17"/>
        <v>0</v>
      </c>
      <c r="BQ34" s="69">
        <f t="shared" si="20"/>
        <v>0</v>
      </c>
      <c r="BR34" s="55"/>
      <c r="BS34" s="55"/>
      <c r="BT34" s="55"/>
      <c r="BU34" s="353"/>
      <c r="BV34" s="347"/>
    </row>
    <row r="35" spans="1:94" x14ac:dyDescent="0.25">
      <c r="A35" s="54" t="s">
        <v>27</v>
      </c>
      <c r="B35" s="446" t="s">
        <v>192</v>
      </c>
      <c r="C35" s="55">
        <v>0</v>
      </c>
      <c r="D35" s="55">
        <v>7454000</v>
      </c>
      <c r="E35" s="55">
        <v>0</v>
      </c>
      <c r="F35" s="55">
        <v>87099</v>
      </c>
      <c r="G35" s="55">
        <v>87099</v>
      </c>
      <c r="H35" s="55">
        <v>87099</v>
      </c>
      <c r="I35" s="55">
        <f t="shared" si="2"/>
        <v>95017.090909090912</v>
      </c>
      <c r="J35" s="55">
        <v>0</v>
      </c>
      <c r="K35" s="55">
        <v>0</v>
      </c>
      <c r="L35" s="55">
        <v>0</v>
      </c>
      <c r="M35" s="55">
        <f t="shared" si="3"/>
        <v>0</v>
      </c>
      <c r="N35" s="54"/>
      <c r="O35" s="55">
        <v>27429</v>
      </c>
      <c r="P35" s="55">
        <v>27429</v>
      </c>
      <c r="Q35" s="55">
        <v>27429</v>
      </c>
      <c r="R35" s="55"/>
      <c r="S35" s="55">
        <v>27429</v>
      </c>
      <c r="T35" s="55">
        <v>27429</v>
      </c>
      <c r="U35" s="54"/>
      <c r="V35" s="55">
        <f t="shared" si="4"/>
        <v>0</v>
      </c>
      <c r="W35" s="55">
        <f t="shared" si="5"/>
        <v>0</v>
      </c>
      <c r="X35" s="55"/>
      <c r="Z35" s="140">
        <f t="shared" si="0"/>
        <v>0</v>
      </c>
      <c r="AA35" s="69">
        <f t="shared" si="6"/>
        <v>0</v>
      </c>
      <c r="AB35" s="55">
        <v>24837</v>
      </c>
      <c r="AC35" s="55">
        <v>24837</v>
      </c>
      <c r="AD35" s="55">
        <v>24837</v>
      </c>
      <c r="AE35" s="122"/>
      <c r="AF35" s="55"/>
      <c r="AG35" s="222"/>
      <c r="AH35" s="55">
        <f t="shared" si="7"/>
        <v>0</v>
      </c>
      <c r="AI35" s="63">
        <f t="shared" si="1"/>
        <v>0</v>
      </c>
      <c r="AJ35" s="52"/>
      <c r="AK35" s="69">
        <f t="shared" si="8"/>
        <v>0</v>
      </c>
      <c r="AM35" s="347">
        <v>24837</v>
      </c>
      <c r="AN35" s="353"/>
      <c r="AO35" s="353"/>
      <c r="AP35" s="382">
        <v>2760927</v>
      </c>
      <c r="AQ35" s="382">
        <v>2760827</v>
      </c>
      <c r="AR35" s="382">
        <v>2760827</v>
      </c>
      <c r="AS35" s="382">
        <v>2760827</v>
      </c>
      <c r="AT35" s="382">
        <v>2760927</v>
      </c>
      <c r="AU35" s="69">
        <f>AP35-AT35</f>
        <v>0</v>
      </c>
      <c r="AV35" s="54">
        <f>AU35/AP35*100</f>
        <v>0</v>
      </c>
      <c r="AW35" s="382">
        <v>2760927</v>
      </c>
      <c r="AX35" s="381"/>
      <c r="AY35" s="69">
        <f t="shared" si="13"/>
        <v>0</v>
      </c>
      <c r="AZ35" s="69">
        <v>494911</v>
      </c>
      <c r="BA35" s="258">
        <f t="shared" si="12"/>
        <v>494911</v>
      </c>
      <c r="BB35" s="501">
        <v>494911</v>
      </c>
      <c r="BC35" s="501">
        <v>9736653</v>
      </c>
      <c r="BD35" s="501">
        <v>9736653</v>
      </c>
      <c r="BE35" s="501">
        <v>9736653</v>
      </c>
      <c r="BF35" s="513">
        <v>9736653</v>
      </c>
      <c r="BG35" s="515">
        <f t="shared" si="15"/>
        <v>11683983.600000001</v>
      </c>
      <c r="BH35" s="65">
        <v>479071</v>
      </c>
      <c r="BI35" s="65">
        <v>14305130</v>
      </c>
      <c r="BJ35" s="55">
        <v>14305130</v>
      </c>
      <c r="BK35" s="65">
        <v>14305130</v>
      </c>
      <c r="BL35" s="69"/>
      <c r="BM35" s="55">
        <v>607054</v>
      </c>
      <c r="BN35" s="55">
        <v>607054</v>
      </c>
      <c r="BO35" s="55">
        <v>16528531</v>
      </c>
      <c r="BP35" s="55">
        <v>16528531</v>
      </c>
      <c r="BQ35" s="69">
        <v>1056887</v>
      </c>
      <c r="BR35" s="55">
        <v>1056887</v>
      </c>
      <c r="BS35" s="55">
        <v>1056887</v>
      </c>
      <c r="BT35" s="55">
        <v>1056887</v>
      </c>
      <c r="BU35" s="819">
        <v>1881914</v>
      </c>
      <c r="BV35" s="872"/>
    </row>
    <row r="36" spans="1:94" x14ac:dyDescent="0.25">
      <c r="A36" s="54">
        <v>814</v>
      </c>
      <c r="B36" s="446" t="s">
        <v>442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4"/>
      <c r="O36" s="55"/>
      <c r="P36" s="55"/>
      <c r="Q36" s="55"/>
      <c r="R36" s="55"/>
      <c r="S36" s="55"/>
      <c r="T36" s="55"/>
      <c r="U36" s="54"/>
      <c r="V36" s="55"/>
      <c r="W36" s="55"/>
      <c r="X36" s="55"/>
      <c r="Z36" s="140"/>
      <c r="AA36" s="69"/>
      <c r="AB36" s="55"/>
      <c r="AC36" s="55"/>
      <c r="AD36" s="55"/>
      <c r="AE36" s="122"/>
      <c r="AF36" s="55"/>
      <c r="AG36" s="222"/>
      <c r="AH36" s="55">
        <f t="shared" si="7"/>
        <v>0</v>
      </c>
      <c r="AI36" s="63">
        <f t="shared" si="1"/>
        <v>0</v>
      </c>
      <c r="AJ36" s="52"/>
      <c r="AK36" s="69">
        <f t="shared" si="8"/>
        <v>0</v>
      </c>
      <c r="AM36" s="347"/>
      <c r="AN36" s="353"/>
      <c r="AO36" s="353"/>
      <c r="AP36" s="382"/>
      <c r="AR36" s="381">
        <f t="shared" si="14"/>
        <v>0</v>
      </c>
      <c r="AT36" s="65"/>
      <c r="AU36" s="69"/>
      <c r="AW36" s="382"/>
      <c r="AX36" s="381"/>
      <c r="AY36" s="69">
        <f t="shared" si="13"/>
        <v>0</v>
      </c>
      <c r="AZ36" s="69">
        <f t="shared" si="11"/>
        <v>0</v>
      </c>
      <c r="BA36" s="258">
        <f t="shared" si="12"/>
        <v>0</v>
      </c>
      <c r="BB36" s="501"/>
      <c r="BE36" s="501"/>
      <c r="BF36" s="221"/>
      <c r="BG36" s="515">
        <f t="shared" si="15"/>
        <v>0</v>
      </c>
      <c r="BH36" s="65">
        <f t="shared" si="16"/>
        <v>0</v>
      </c>
      <c r="BI36" s="65"/>
      <c r="BJ36" s="55"/>
      <c r="BK36" s="65"/>
      <c r="BL36" s="69">
        <f t="shared" si="10"/>
        <v>0</v>
      </c>
      <c r="BM36" s="55"/>
      <c r="BN36" s="55"/>
      <c r="BO36" s="55"/>
      <c r="BP36" s="55"/>
      <c r="BQ36" s="69">
        <f t="shared" si="20"/>
        <v>0</v>
      </c>
      <c r="BR36" s="55"/>
      <c r="BS36" s="55"/>
      <c r="BT36" s="55"/>
      <c r="BU36" s="353"/>
      <c r="BV36" s="347"/>
    </row>
    <row r="37" spans="1:94" x14ac:dyDescent="0.25">
      <c r="A37" s="54" t="s">
        <v>28</v>
      </c>
      <c r="B37" s="58" t="s">
        <v>197</v>
      </c>
      <c r="C37" s="55">
        <v>80358257</v>
      </c>
      <c r="D37" s="55">
        <v>69590740</v>
      </c>
      <c r="E37" s="55">
        <v>128488119</v>
      </c>
      <c r="F37" s="55">
        <v>92247423</v>
      </c>
      <c r="G37" s="55">
        <v>128488119</v>
      </c>
      <c r="H37" s="55">
        <v>102449519</v>
      </c>
      <c r="I37" s="55">
        <f t="shared" si="2"/>
        <v>111763111.63636364</v>
      </c>
      <c r="J37" s="55">
        <v>132976159.01007874</v>
      </c>
      <c r="K37" s="55">
        <v>130264149.01007874</v>
      </c>
      <c r="L37" s="55">
        <f>L104-L18-L22</f>
        <v>125489755.64</v>
      </c>
      <c r="M37" s="55">
        <f t="shared" si="3"/>
        <v>112.28190930143198</v>
      </c>
      <c r="N37" s="54"/>
      <c r="O37" s="55">
        <v>130364149</v>
      </c>
      <c r="P37" s="55">
        <v>90250162</v>
      </c>
      <c r="Q37" s="55">
        <v>109392708</v>
      </c>
      <c r="R37" s="55">
        <f>R104-R22-R18</f>
        <v>125860796</v>
      </c>
      <c r="S37" s="55">
        <v>130364149</v>
      </c>
      <c r="T37" s="55">
        <v>125800515</v>
      </c>
      <c r="U37" s="69">
        <f>U104-SUM(U18:U32)</f>
        <v>143711376.69999999</v>
      </c>
      <c r="V37" s="55">
        <f t="shared" si="4"/>
        <v>143711376.69999999</v>
      </c>
      <c r="W37" s="55">
        <f>W104-W18-W22-W32</f>
        <v>141278776.69999999</v>
      </c>
      <c r="X37" s="55"/>
      <c r="Z37" s="140">
        <f t="shared" si="0"/>
        <v>1.1230381425704019</v>
      </c>
      <c r="AA37" s="69">
        <f>AA104-SUM(AA18:AA35)</f>
        <v>141278776.69999999</v>
      </c>
      <c r="AB37" s="69">
        <f>AB104-SUM(AB18:AB35)</f>
        <v>66252100</v>
      </c>
      <c r="AC37" s="69">
        <f>AC104-SUM(AC18:AC35)</f>
        <v>82783509</v>
      </c>
      <c r="AD37" s="69">
        <f>AD104-SUM(AD18:AD35)</f>
        <v>79993305</v>
      </c>
      <c r="AE37" s="69" t="e">
        <f>AE104-SUM(AE18:AE35)</f>
        <v>#DIV/0!</v>
      </c>
      <c r="AF37" s="69">
        <v>146214777</v>
      </c>
      <c r="AG37" s="222">
        <v>106649962</v>
      </c>
      <c r="AH37" s="55">
        <f t="shared" si="7"/>
        <v>127979954.39999999</v>
      </c>
      <c r="AI37" s="63">
        <v>134940595.75999999</v>
      </c>
      <c r="AJ37" s="52"/>
      <c r="AK37" s="69">
        <f>AK104-AK18-AK22-AK30</f>
        <v>173285615.403</v>
      </c>
      <c r="AM37" s="347">
        <v>133508315</v>
      </c>
      <c r="AN37" s="353"/>
      <c r="AO37" s="353"/>
      <c r="AP37" s="382">
        <v>176774544</v>
      </c>
      <c r="AQ37" s="382">
        <v>124038548</v>
      </c>
      <c r="AR37" s="381">
        <f t="shared" si="14"/>
        <v>52735996</v>
      </c>
      <c r="AS37" s="54">
        <f t="shared" si="19"/>
        <v>70.167652645733881</v>
      </c>
      <c r="AT37" s="65">
        <v>137967772</v>
      </c>
      <c r="AU37" s="69">
        <f>AP37-AT37</f>
        <v>38806772</v>
      </c>
      <c r="AV37" s="54">
        <f>AU37/AP37*100</f>
        <v>21.952692464589248</v>
      </c>
      <c r="AW37" s="382">
        <v>176774544</v>
      </c>
      <c r="AX37" s="381">
        <f>AX104-AX18-AX22</f>
        <v>184947805.75999999</v>
      </c>
      <c r="AY37" s="381">
        <f>AY104-AY18-AY22</f>
        <v>181747805.75999999</v>
      </c>
      <c r="AZ37" s="381">
        <f>AZ104-AZ18-AZ22-AZ35</f>
        <v>179429953.66999999</v>
      </c>
      <c r="BA37" s="382">
        <f>BA104-BA18-BA22</f>
        <v>193377309.31000003</v>
      </c>
      <c r="BB37" s="501">
        <v>182764811</v>
      </c>
      <c r="BC37" s="501">
        <v>182764811</v>
      </c>
      <c r="BD37" s="501">
        <v>101654791</v>
      </c>
      <c r="BE37" s="501">
        <v>125345668</v>
      </c>
      <c r="BF37" s="513">
        <v>139660906</v>
      </c>
      <c r="BG37" s="515">
        <f t="shared" si="15"/>
        <v>167593087.19999999</v>
      </c>
      <c r="BH37" s="65">
        <v>203915833</v>
      </c>
      <c r="BI37" s="65">
        <v>199665333</v>
      </c>
      <c r="BJ37" s="55">
        <v>89169047</v>
      </c>
      <c r="BK37" s="65">
        <v>144300534</v>
      </c>
      <c r="BL37" s="69">
        <v>196237886</v>
      </c>
      <c r="BM37" s="55">
        <v>218360220</v>
      </c>
      <c r="BN37" s="55">
        <v>218360220</v>
      </c>
      <c r="BO37" s="55">
        <v>168360674</v>
      </c>
      <c r="BP37" s="55">
        <v>208104556</v>
      </c>
      <c r="BQ37" s="69">
        <v>249372442</v>
      </c>
      <c r="BR37" s="55">
        <v>252405793</v>
      </c>
      <c r="BS37" s="65">
        <v>272084135</v>
      </c>
      <c r="BT37" s="65">
        <v>270289135</v>
      </c>
      <c r="BU37" s="729">
        <v>317781224</v>
      </c>
      <c r="BV37" s="347">
        <v>348006226</v>
      </c>
    </row>
    <row r="38" spans="1:94" x14ac:dyDescent="0.25">
      <c r="A38" s="54" t="s">
        <v>29</v>
      </c>
      <c r="B38" s="446"/>
      <c r="C38" s="55">
        <v>0</v>
      </c>
      <c r="D38" s="55">
        <v>0</v>
      </c>
      <c r="E38" s="55">
        <v>0</v>
      </c>
      <c r="F38" s="55"/>
      <c r="G38" s="55"/>
      <c r="H38" s="55"/>
      <c r="I38" s="55">
        <f t="shared" si="2"/>
        <v>0</v>
      </c>
      <c r="J38" s="55"/>
      <c r="K38" s="55"/>
      <c r="L38" s="55"/>
      <c r="M38" s="55">
        <f t="shared" si="3"/>
        <v>0</v>
      </c>
      <c r="N38" s="54"/>
      <c r="O38" s="55"/>
      <c r="P38" s="55"/>
      <c r="Q38" s="55"/>
      <c r="R38" s="55"/>
      <c r="S38" s="55"/>
      <c r="T38" s="55"/>
      <c r="U38" s="54"/>
      <c r="V38" s="55">
        <f t="shared" si="4"/>
        <v>0</v>
      </c>
      <c r="W38" s="55">
        <f t="shared" si="5"/>
        <v>0</v>
      </c>
      <c r="X38" s="55"/>
      <c r="Z38" s="140" t="e">
        <f t="shared" si="0"/>
        <v>#DIV/0!</v>
      </c>
      <c r="AA38" s="69">
        <f t="shared" si="6"/>
        <v>0</v>
      </c>
      <c r="AB38" s="55"/>
      <c r="AC38" s="55"/>
      <c r="AD38" s="55"/>
      <c r="AE38" s="122"/>
      <c r="AF38" s="55"/>
      <c r="AG38" s="222"/>
      <c r="AH38" s="55">
        <f t="shared" si="7"/>
        <v>0</v>
      </c>
      <c r="AI38" s="63">
        <f t="shared" si="1"/>
        <v>0</v>
      </c>
      <c r="AJ38" s="52"/>
      <c r="AK38" s="69">
        <f t="shared" si="8"/>
        <v>0</v>
      </c>
      <c r="AM38" s="347"/>
      <c r="AN38" s="353"/>
      <c r="AO38" s="353"/>
      <c r="AP38" s="382"/>
      <c r="AR38" s="381">
        <f t="shared" si="14"/>
        <v>0</v>
      </c>
      <c r="AT38" s="65"/>
      <c r="AU38" s="69"/>
      <c r="AW38" s="382"/>
      <c r="AX38" s="381"/>
      <c r="AY38" s="69">
        <f t="shared" si="9"/>
        <v>0</v>
      </c>
      <c r="AZ38" s="69">
        <f t="shared" ref="AZ38" si="21">AY38</f>
        <v>0</v>
      </c>
      <c r="BA38" s="258">
        <f t="shared" ref="BA38" si="22">AZ38</f>
        <v>0</v>
      </c>
      <c r="BB38" s="501"/>
      <c r="BE38" s="501"/>
      <c r="BF38" s="221"/>
      <c r="BG38" s="515">
        <f t="shared" si="15"/>
        <v>0</v>
      </c>
      <c r="BI38" s="65"/>
      <c r="BJ38" s="55"/>
      <c r="BK38" s="65"/>
      <c r="BL38" s="69">
        <f t="shared" si="10"/>
        <v>0</v>
      </c>
      <c r="BM38" s="55"/>
      <c r="BN38" s="55"/>
      <c r="BO38" s="55"/>
      <c r="BP38" s="55"/>
      <c r="BQ38" s="54"/>
      <c r="BR38" s="55"/>
      <c r="BS38" s="55"/>
      <c r="BT38" s="55"/>
      <c r="BU38" s="353"/>
      <c r="BV38" s="347"/>
    </row>
    <row r="39" spans="1:94" s="39" customFormat="1" x14ac:dyDescent="0.25">
      <c r="A39" s="59" t="s">
        <v>30</v>
      </c>
      <c r="B39" s="447" t="s">
        <v>140</v>
      </c>
      <c r="C39" s="60">
        <v>64708500</v>
      </c>
      <c r="D39" s="60">
        <v>60001629</v>
      </c>
      <c r="E39" s="60">
        <v>70363800</v>
      </c>
      <c r="F39" s="60">
        <f>53909500+1553600+799407</f>
        <v>56262507</v>
      </c>
      <c r="G39" s="60">
        <f>66323267+30000</f>
        <v>66353267</v>
      </c>
      <c r="H39" s="60">
        <v>59796673</v>
      </c>
      <c r="I39" s="60">
        <f>H39+5325009</f>
        <v>65121682</v>
      </c>
      <c r="J39" s="60">
        <v>75573276</v>
      </c>
      <c r="K39" s="60">
        <v>75573276</v>
      </c>
      <c r="L39" s="60">
        <f>75513276+60000+1600000</f>
        <v>77173276</v>
      </c>
      <c r="M39" s="60">
        <f t="shared" si="3"/>
        <v>118.506269540151</v>
      </c>
      <c r="N39" s="59"/>
      <c r="O39" s="60">
        <v>75821476</v>
      </c>
      <c r="P39" s="60">
        <v>54394372</v>
      </c>
      <c r="Q39" s="60">
        <v>60161787</v>
      </c>
      <c r="R39" s="60">
        <v>77173276</v>
      </c>
      <c r="S39" s="60">
        <v>71393543</v>
      </c>
      <c r="T39" s="60">
        <v>71393543</v>
      </c>
      <c r="U39" s="60">
        <f>20420400+60410580+9077480</f>
        <v>89908460</v>
      </c>
      <c r="V39" s="60">
        <f t="shared" si="4"/>
        <v>89908460</v>
      </c>
      <c r="W39" s="60">
        <f t="shared" si="5"/>
        <v>89908460</v>
      </c>
      <c r="X39" s="60"/>
      <c r="Y39" s="38"/>
      <c r="Z39" s="140">
        <f t="shared" si="0"/>
        <v>1.2593360158635074</v>
      </c>
      <c r="AA39" s="124">
        <f t="shared" si="6"/>
        <v>89908460</v>
      </c>
      <c r="AB39" s="60">
        <v>34289465</v>
      </c>
      <c r="AC39" s="60">
        <v>46526405</v>
      </c>
      <c r="AD39" s="60">
        <v>53138812</v>
      </c>
      <c r="AE39" s="123">
        <f t="shared" ref="AE39:AE72" si="23">AD39/AA39*100</f>
        <v>59.103239005539635</v>
      </c>
      <c r="AF39" s="60">
        <v>84894460</v>
      </c>
      <c r="AG39" s="217">
        <v>59524538</v>
      </c>
      <c r="AH39" s="60">
        <f>AG39/10*12</f>
        <v>71429445.599999994</v>
      </c>
      <c r="AI39" s="63">
        <f t="shared" si="1"/>
        <v>72858034.511999995</v>
      </c>
      <c r="AJ39" s="52"/>
      <c r="AK39" s="69">
        <v>110562400</v>
      </c>
      <c r="AL39"/>
      <c r="AM39" s="348">
        <v>73102637</v>
      </c>
      <c r="AN39" s="678"/>
      <c r="AO39" s="678"/>
      <c r="AP39" s="382">
        <v>103474400</v>
      </c>
      <c r="AQ39" s="382">
        <v>68784972</v>
      </c>
      <c r="AR39" s="381">
        <f t="shared" si="14"/>
        <v>34689428</v>
      </c>
      <c r="AS39" s="54">
        <f t="shared" si="19"/>
        <v>66.475352357684599</v>
      </c>
      <c r="AT39" s="60">
        <v>77489640</v>
      </c>
      <c r="AU39" s="124">
        <f>AP39-AT39</f>
        <v>25984760</v>
      </c>
      <c r="AV39" s="59">
        <f>AU39/AP39*100</f>
        <v>25.11225965069621</v>
      </c>
      <c r="AW39" s="423">
        <v>110562400</v>
      </c>
      <c r="AX39" s="432">
        <v>123193000</v>
      </c>
      <c r="AY39" s="124">
        <f>AX39-5500000+2300000</f>
        <v>119993000</v>
      </c>
      <c r="AZ39" s="124">
        <v>120570000</v>
      </c>
      <c r="BA39" s="260">
        <f>AY39*1.08</f>
        <v>129592440.00000001</v>
      </c>
      <c r="BB39" s="60">
        <v>120570000</v>
      </c>
      <c r="BC39" s="60">
        <v>116252176</v>
      </c>
      <c r="BD39" s="60">
        <v>62135726</v>
      </c>
      <c r="BE39" s="60">
        <v>78793390</v>
      </c>
      <c r="BF39" s="60">
        <v>87791116</v>
      </c>
      <c r="BG39" s="329">
        <f>BF39/11*12</f>
        <v>95772126.545454547</v>
      </c>
      <c r="BH39" s="60">
        <f>137000000-2000000</f>
        <v>135000000</v>
      </c>
      <c r="BI39" s="60">
        <v>133283139</v>
      </c>
      <c r="BJ39" s="60">
        <v>57928971</v>
      </c>
      <c r="BK39" s="60">
        <v>98333987</v>
      </c>
      <c r="BL39" s="60">
        <v>133283139</v>
      </c>
      <c r="BM39" s="60">
        <v>155145000</v>
      </c>
      <c r="BN39" s="60">
        <v>155145000</v>
      </c>
      <c r="BO39" s="60">
        <v>117934875</v>
      </c>
      <c r="BP39" s="60">
        <f>BO39/10*12+7172066</f>
        <v>148693916</v>
      </c>
      <c r="BQ39" s="124">
        <f>BP39*1.1</f>
        <v>163563307.60000002</v>
      </c>
      <c r="BR39" s="60">
        <v>164736800</v>
      </c>
      <c r="BS39" s="66">
        <v>181536600</v>
      </c>
      <c r="BT39" s="60">
        <v>181536600</v>
      </c>
      <c r="BU39" s="799">
        <f>222989600-7800000</f>
        <v>215189600</v>
      </c>
      <c r="BV39" s="874">
        <v>231850000</v>
      </c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</row>
    <row r="40" spans="1:94" s="39" customFormat="1" x14ac:dyDescent="0.25">
      <c r="A40" s="59" t="s">
        <v>226</v>
      </c>
      <c r="B40" s="447" t="s">
        <v>227</v>
      </c>
      <c r="C40" s="60"/>
      <c r="D40" s="60"/>
      <c r="E40" s="60"/>
      <c r="F40" s="60"/>
      <c r="G40" s="60">
        <v>1553600</v>
      </c>
      <c r="H40" s="60">
        <v>1553600</v>
      </c>
      <c r="I40" s="60">
        <f>H40+2354421</f>
        <v>3908021</v>
      </c>
      <c r="J40" s="60"/>
      <c r="K40" s="60"/>
      <c r="L40" s="60"/>
      <c r="M40" s="60">
        <f t="shared" si="3"/>
        <v>0</v>
      </c>
      <c r="N40" s="59"/>
      <c r="O40" s="60">
        <v>151800</v>
      </c>
      <c r="P40" s="60">
        <v>151800</v>
      </c>
      <c r="Q40" s="60">
        <v>151800</v>
      </c>
      <c r="R40" s="60"/>
      <c r="S40" s="60">
        <v>2680800</v>
      </c>
      <c r="T40" s="60">
        <v>2680800</v>
      </c>
      <c r="U40" s="60"/>
      <c r="V40" s="60">
        <f t="shared" si="4"/>
        <v>0</v>
      </c>
      <c r="W40" s="60">
        <f t="shared" si="5"/>
        <v>0</v>
      </c>
      <c r="X40" s="60"/>
      <c r="Y40" s="38"/>
      <c r="Z40" s="140">
        <f t="shared" ref="Z40:Z74" si="24">W40/T40</f>
        <v>0</v>
      </c>
      <c r="AA40" s="124">
        <f t="shared" si="6"/>
        <v>0</v>
      </c>
      <c r="AB40" s="60"/>
      <c r="AC40" s="60"/>
      <c r="AD40" s="60"/>
      <c r="AE40" s="123"/>
      <c r="AF40" s="60"/>
      <c r="AG40" s="217"/>
      <c r="AH40" s="60">
        <f t="shared" ref="AH40:AH55" si="25">AG40/10*12</f>
        <v>0</v>
      </c>
      <c r="AI40" s="63">
        <f t="shared" si="1"/>
        <v>0</v>
      </c>
      <c r="AJ40" s="52"/>
      <c r="AK40" s="69">
        <f t="shared" si="8"/>
        <v>0</v>
      </c>
      <c r="AL40"/>
      <c r="AM40" s="348">
        <v>3503000</v>
      </c>
      <c r="AN40" s="678"/>
      <c r="AO40" s="678"/>
      <c r="AP40" s="382"/>
      <c r="AQ40" s="382"/>
      <c r="AR40" s="381">
        <f t="shared" si="14"/>
        <v>0</v>
      </c>
      <c r="AS40" s="54"/>
      <c r="AT40" s="60"/>
      <c r="AU40" s="124"/>
      <c r="AV40" s="59"/>
      <c r="AW40" s="423"/>
      <c r="AX40" s="60">
        <f t="shared" ref="AX40:AX55" si="26">AW40*1.08</f>
        <v>0</v>
      </c>
      <c r="AY40" s="124">
        <f t="shared" si="9"/>
        <v>0</v>
      </c>
      <c r="AZ40" s="124">
        <f t="shared" ref="AZ40:AZ91" si="27">AY40</f>
        <v>0</v>
      </c>
      <c r="BA40" s="260">
        <f t="shared" ref="BA40:BA91" si="28">AZ40</f>
        <v>0</v>
      </c>
      <c r="BB40" s="60">
        <v>1300000</v>
      </c>
      <c r="BC40" s="60">
        <v>1758505</v>
      </c>
      <c r="BD40" s="60">
        <v>1758505</v>
      </c>
      <c r="BE40" s="60">
        <v>1758505</v>
      </c>
      <c r="BF40" s="60">
        <v>1758505</v>
      </c>
      <c r="BG40" s="329">
        <f t="shared" ref="BG40:BG55" si="29">BF40/11*12</f>
        <v>1918369.0909090908</v>
      </c>
      <c r="BH40" s="60"/>
      <c r="BI40" s="60"/>
      <c r="BJ40" s="60"/>
      <c r="BK40" s="60"/>
      <c r="BL40" s="60"/>
      <c r="BM40" s="60">
        <f t="shared" ref="BM40:BM49" si="30">BL40*1.14</f>
        <v>0</v>
      </c>
      <c r="BN40" s="60"/>
      <c r="BO40" s="60"/>
      <c r="BP40" s="60">
        <f t="shared" ref="BP40:BP55" si="31">BO40/10*12</f>
        <v>0</v>
      </c>
      <c r="BQ40" s="124">
        <f t="shared" ref="BQ40:BQ55" si="32">BP40*1.1</f>
        <v>0</v>
      </c>
      <c r="BR40" s="60"/>
      <c r="BS40" s="60"/>
      <c r="BT40" s="60"/>
      <c r="BU40" s="678"/>
      <c r="BV40" s="874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</row>
    <row r="41" spans="1:94" s="39" customFormat="1" x14ac:dyDescent="0.25">
      <c r="A41" s="59" t="s">
        <v>31</v>
      </c>
      <c r="B41" s="447" t="s">
        <v>141</v>
      </c>
      <c r="C41" s="60">
        <v>900000</v>
      </c>
      <c r="D41" s="60">
        <v>1460822</v>
      </c>
      <c r="E41" s="60">
        <v>1650000</v>
      </c>
      <c r="F41" s="60">
        <v>1212665</v>
      </c>
      <c r="G41" s="60">
        <v>1650000</v>
      </c>
      <c r="H41" s="60">
        <v>1423110</v>
      </c>
      <c r="I41" s="60">
        <f>H41+246973</f>
        <v>1670083</v>
      </c>
      <c r="J41" s="60">
        <v>1650000</v>
      </c>
      <c r="K41" s="60">
        <v>1650000</v>
      </c>
      <c r="L41" s="60">
        <v>1650000</v>
      </c>
      <c r="M41" s="60">
        <f t="shared" si="3"/>
        <v>98.79748491542037</v>
      </c>
      <c r="N41" s="59"/>
      <c r="O41" s="60">
        <v>1650000</v>
      </c>
      <c r="P41" s="60">
        <v>1395113</v>
      </c>
      <c r="Q41" s="60">
        <v>1695727</v>
      </c>
      <c r="R41" s="60">
        <v>1650000</v>
      </c>
      <c r="S41" s="60">
        <v>2492119</v>
      </c>
      <c r="T41" s="60">
        <v>2492119</v>
      </c>
      <c r="U41" s="60">
        <f>650000+1000000+250000</f>
        <v>1900000</v>
      </c>
      <c r="V41" s="60">
        <f t="shared" si="4"/>
        <v>1900000</v>
      </c>
      <c r="W41" s="60">
        <f t="shared" si="5"/>
        <v>1900000</v>
      </c>
      <c r="X41" s="60"/>
      <c r="Y41" s="38"/>
      <c r="Z41" s="140">
        <f t="shared" si="24"/>
        <v>0.76240340047967214</v>
      </c>
      <c r="AA41" s="124">
        <f t="shared" si="6"/>
        <v>1900000</v>
      </c>
      <c r="AB41" s="60">
        <v>2070607</v>
      </c>
      <c r="AC41" s="60">
        <v>2208788</v>
      </c>
      <c r="AD41" s="60">
        <v>2208788</v>
      </c>
      <c r="AE41" s="123">
        <f t="shared" si="23"/>
        <v>116.252</v>
      </c>
      <c r="AF41" s="60">
        <v>2800000</v>
      </c>
      <c r="AG41" s="217">
        <v>2327804</v>
      </c>
      <c r="AH41" s="60">
        <f t="shared" si="25"/>
        <v>2793364.8</v>
      </c>
      <c r="AI41" s="63">
        <f t="shared" si="1"/>
        <v>2849232.0959999999</v>
      </c>
      <c r="AJ41" s="52"/>
      <c r="AK41" s="69">
        <f t="shared" si="8"/>
        <v>2849232.0959999999</v>
      </c>
      <c r="AL41"/>
      <c r="AM41" s="348">
        <v>2823504</v>
      </c>
      <c r="AN41" s="678"/>
      <c r="AO41" s="678"/>
      <c r="AP41" s="382">
        <v>2849232</v>
      </c>
      <c r="AQ41" s="382">
        <v>703115</v>
      </c>
      <c r="AR41" s="381">
        <f t="shared" si="14"/>
        <v>2146117</v>
      </c>
      <c r="AS41" s="54">
        <f t="shared" si="19"/>
        <v>24.677351651251985</v>
      </c>
      <c r="AT41" s="60">
        <v>821067</v>
      </c>
      <c r="AU41" s="124">
        <f>AP41-AT41</f>
        <v>2028165</v>
      </c>
      <c r="AV41" s="59">
        <f>AU41/AP41*100</f>
        <v>71.182866119712259</v>
      </c>
      <c r="AW41" s="423">
        <v>2849232</v>
      </c>
      <c r="AX41" s="432">
        <v>1300000</v>
      </c>
      <c r="AY41" s="124">
        <f t="shared" si="9"/>
        <v>1300000</v>
      </c>
      <c r="AZ41" s="124">
        <f t="shared" si="27"/>
        <v>1300000</v>
      </c>
      <c r="BA41" s="260">
        <f t="shared" si="28"/>
        <v>1300000</v>
      </c>
      <c r="BB41" s="60"/>
      <c r="BC41" s="60">
        <v>1300000</v>
      </c>
      <c r="BD41" s="60">
        <v>1146869</v>
      </c>
      <c r="BE41" s="60">
        <v>1146869</v>
      </c>
      <c r="BF41" s="60">
        <v>1440189</v>
      </c>
      <c r="BG41" s="329">
        <f t="shared" si="29"/>
        <v>1571115.2727272727</v>
      </c>
      <c r="BH41" s="60">
        <v>1100000</v>
      </c>
      <c r="BI41" s="60">
        <v>1952861</v>
      </c>
      <c r="BJ41" s="60">
        <v>1952861</v>
      </c>
      <c r="BK41" s="60">
        <v>2181327</v>
      </c>
      <c r="BL41" s="60">
        <v>1952861</v>
      </c>
      <c r="BM41" s="60">
        <v>2000000</v>
      </c>
      <c r="BN41" s="60">
        <v>2000000</v>
      </c>
      <c r="BO41" s="60">
        <v>2094812</v>
      </c>
      <c r="BP41" s="60">
        <f t="shared" si="31"/>
        <v>2513774.4000000004</v>
      </c>
      <c r="BQ41" s="124">
        <f t="shared" si="32"/>
        <v>2765151.8400000008</v>
      </c>
      <c r="BR41" s="60">
        <v>2700000</v>
      </c>
      <c r="BS41" s="66">
        <v>3000000</v>
      </c>
      <c r="BT41" s="60">
        <v>3000000</v>
      </c>
      <c r="BU41" s="678">
        <v>3500000</v>
      </c>
      <c r="BV41" s="874">
        <v>7000000</v>
      </c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</row>
    <row r="42" spans="1:94" s="39" customFormat="1" x14ac:dyDescent="0.25">
      <c r="A42" s="59" t="s">
        <v>32</v>
      </c>
      <c r="B42" s="62" t="s">
        <v>198</v>
      </c>
      <c r="C42" s="60">
        <v>0</v>
      </c>
      <c r="D42" s="60">
        <v>0</v>
      </c>
      <c r="E42" s="60">
        <v>0</v>
      </c>
      <c r="F42" s="60"/>
      <c r="G42" s="60"/>
      <c r="H42" s="60"/>
      <c r="I42" s="60">
        <f t="shared" si="2"/>
        <v>0</v>
      </c>
      <c r="J42" s="60"/>
      <c r="K42" s="60"/>
      <c r="L42" s="60"/>
      <c r="M42" s="60">
        <f t="shared" si="3"/>
        <v>0</v>
      </c>
      <c r="N42" s="59"/>
      <c r="O42" s="60"/>
      <c r="P42" s="60"/>
      <c r="Q42" s="60"/>
      <c r="R42" s="60"/>
      <c r="S42" s="60"/>
      <c r="T42" s="60"/>
      <c r="U42" s="60"/>
      <c r="V42" s="60">
        <f t="shared" si="4"/>
        <v>0</v>
      </c>
      <c r="W42" s="60">
        <f t="shared" si="5"/>
        <v>0</v>
      </c>
      <c r="X42" s="60"/>
      <c r="Y42" s="38"/>
      <c r="Z42" s="140" t="e">
        <f t="shared" si="24"/>
        <v>#DIV/0!</v>
      </c>
      <c r="AA42" s="124">
        <f t="shared" si="6"/>
        <v>0</v>
      </c>
      <c r="AB42" s="60"/>
      <c r="AC42" s="60"/>
      <c r="AD42" s="60"/>
      <c r="AE42" s="123"/>
      <c r="AF42" s="60"/>
      <c r="AG42" s="217"/>
      <c r="AH42" s="60">
        <f t="shared" si="25"/>
        <v>0</v>
      </c>
      <c r="AI42" s="63">
        <f t="shared" si="1"/>
        <v>0</v>
      </c>
      <c r="AJ42" s="52"/>
      <c r="AK42" s="69">
        <f t="shared" si="8"/>
        <v>0</v>
      </c>
      <c r="AL42"/>
      <c r="AM42" s="348"/>
      <c r="AN42" s="678"/>
      <c r="AO42" s="678"/>
      <c r="AP42" s="382"/>
      <c r="AQ42" s="382"/>
      <c r="AR42" s="381">
        <f t="shared" si="14"/>
        <v>0</v>
      </c>
      <c r="AS42" s="54"/>
      <c r="AT42" s="60"/>
      <c r="AU42" s="124"/>
      <c r="AV42" s="59"/>
      <c r="AW42" s="423"/>
      <c r="AX42" s="60">
        <f t="shared" si="26"/>
        <v>0</v>
      </c>
      <c r="AY42" s="124">
        <f t="shared" si="9"/>
        <v>0</v>
      </c>
      <c r="AZ42" s="124">
        <f t="shared" si="27"/>
        <v>0</v>
      </c>
      <c r="BA42" s="260">
        <f t="shared" si="28"/>
        <v>0</v>
      </c>
      <c r="BB42" s="60">
        <v>1000000</v>
      </c>
      <c r="BC42" s="60"/>
      <c r="BD42" s="60"/>
      <c r="BE42" s="60"/>
      <c r="BF42" s="60"/>
      <c r="BG42" s="329">
        <f t="shared" si="29"/>
        <v>0</v>
      </c>
      <c r="BH42" s="60"/>
      <c r="BI42" s="60"/>
      <c r="BJ42" s="60"/>
      <c r="BK42" s="60"/>
      <c r="BL42" s="60"/>
      <c r="BM42" s="60">
        <f t="shared" si="30"/>
        <v>0</v>
      </c>
      <c r="BN42" s="60"/>
      <c r="BO42" s="60"/>
      <c r="BP42" s="60">
        <f t="shared" si="31"/>
        <v>0</v>
      </c>
      <c r="BQ42" s="124">
        <f t="shared" si="32"/>
        <v>0</v>
      </c>
      <c r="BR42" s="60"/>
      <c r="BS42" s="60"/>
      <c r="BT42" s="60"/>
      <c r="BU42" s="678"/>
      <c r="BV42" s="874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</row>
    <row r="43" spans="1:94" s="39" customFormat="1" x14ac:dyDescent="0.25">
      <c r="A43" s="59" t="s">
        <v>33</v>
      </c>
      <c r="B43" s="447" t="s">
        <v>142</v>
      </c>
      <c r="C43" s="60">
        <v>5077034</v>
      </c>
      <c r="D43" s="60">
        <v>3313225</v>
      </c>
      <c r="E43" s="60">
        <v>1878000</v>
      </c>
      <c r="F43" s="60">
        <v>0</v>
      </c>
      <c r="G43" s="60">
        <v>1878000</v>
      </c>
      <c r="H43" s="60">
        <v>0</v>
      </c>
      <c r="I43" s="60">
        <f t="shared" si="2"/>
        <v>0</v>
      </c>
      <c r="J43" s="60">
        <v>1690200</v>
      </c>
      <c r="K43" s="60">
        <v>1690200</v>
      </c>
      <c r="L43" s="60">
        <v>1690200</v>
      </c>
      <c r="M43" s="60">
        <f t="shared" si="3"/>
        <v>0</v>
      </c>
      <c r="N43" s="59"/>
      <c r="O43" s="60">
        <v>1690200</v>
      </c>
      <c r="P43" s="60">
        <v>1350270</v>
      </c>
      <c r="Q43" s="60">
        <v>1403370</v>
      </c>
      <c r="R43" s="60">
        <v>1690200</v>
      </c>
      <c r="S43" s="60">
        <v>1558670</v>
      </c>
      <c r="T43" s="60">
        <v>1558670</v>
      </c>
      <c r="U43" s="60">
        <f>460000+165000</f>
        <v>625000</v>
      </c>
      <c r="V43" s="60">
        <f t="shared" si="4"/>
        <v>625000</v>
      </c>
      <c r="W43" s="60">
        <f t="shared" si="5"/>
        <v>625000</v>
      </c>
      <c r="X43" s="60"/>
      <c r="Y43" s="38"/>
      <c r="Z43" s="140">
        <f t="shared" si="24"/>
        <v>0.40098288925814957</v>
      </c>
      <c r="AA43" s="124">
        <f t="shared" si="6"/>
        <v>625000</v>
      </c>
      <c r="AB43" s="60">
        <v>0</v>
      </c>
      <c r="AC43" s="60">
        <v>0</v>
      </c>
      <c r="AD43" s="60"/>
      <c r="AE43" s="123">
        <f t="shared" si="23"/>
        <v>0</v>
      </c>
      <c r="AF43" s="60">
        <v>625000</v>
      </c>
      <c r="AG43" s="217">
        <v>554430</v>
      </c>
      <c r="AH43" s="60">
        <f t="shared" si="25"/>
        <v>665316</v>
      </c>
      <c r="AI43" s="63">
        <v>1781000</v>
      </c>
      <c r="AJ43" s="52"/>
      <c r="AK43" s="69">
        <f t="shared" si="8"/>
        <v>1781000</v>
      </c>
      <c r="AL43"/>
      <c r="AM43" s="348">
        <v>554430</v>
      </c>
      <c r="AN43" s="678"/>
      <c r="AO43" s="678"/>
      <c r="AP43" s="382">
        <v>1781000</v>
      </c>
      <c r="AQ43" s="382"/>
      <c r="AR43" s="381">
        <f t="shared" si="14"/>
        <v>1781000</v>
      </c>
      <c r="AS43" s="54">
        <f t="shared" si="19"/>
        <v>0</v>
      </c>
      <c r="AT43" s="60">
        <v>246650</v>
      </c>
      <c r="AU43" s="124">
        <f>AP43-AT43</f>
        <v>1534350</v>
      </c>
      <c r="AV43" s="59">
        <f>AU43/AP43*100</f>
        <v>86.151038742279624</v>
      </c>
      <c r="AW43" s="423">
        <v>1781000</v>
      </c>
      <c r="AX43" s="432">
        <v>813000</v>
      </c>
      <c r="AY43" s="124">
        <f t="shared" si="9"/>
        <v>813000</v>
      </c>
      <c r="AZ43" s="124">
        <v>1000000</v>
      </c>
      <c r="BA43" s="260">
        <f t="shared" si="28"/>
        <v>1000000</v>
      </c>
      <c r="BB43" s="60">
        <v>6969240</v>
      </c>
      <c r="BC43" s="60">
        <v>1000000</v>
      </c>
      <c r="BD43" s="60">
        <v>805000</v>
      </c>
      <c r="BE43" s="60">
        <v>1842855</v>
      </c>
      <c r="BF43" s="60">
        <v>1842855</v>
      </c>
      <c r="BG43" s="329">
        <f t="shared" si="29"/>
        <v>2010387.2727272729</v>
      </c>
      <c r="BH43" s="60">
        <v>2300000</v>
      </c>
      <c r="BI43" s="60">
        <v>2300000</v>
      </c>
      <c r="BJ43" s="60">
        <v>831315</v>
      </c>
      <c r="BK43" s="60">
        <v>831315</v>
      </c>
      <c r="BL43" s="60">
        <v>2300000</v>
      </c>
      <c r="BM43" s="60">
        <v>918600</v>
      </c>
      <c r="BN43" s="60">
        <v>918600</v>
      </c>
      <c r="BO43" s="60">
        <v>547780</v>
      </c>
      <c r="BP43" s="60">
        <f t="shared" si="31"/>
        <v>657336</v>
      </c>
      <c r="BQ43" s="124">
        <f t="shared" si="32"/>
        <v>723069.60000000009</v>
      </c>
      <c r="BR43" s="60">
        <v>1255200</v>
      </c>
      <c r="BS43" s="66">
        <v>1566800</v>
      </c>
      <c r="BT43" s="60">
        <v>1566800</v>
      </c>
      <c r="BU43" s="820">
        <v>4170000</v>
      </c>
      <c r="BV43" s="874">
        <v>9377200</v>
      </c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</row>
    <row r="44" spans="1:94" s="39" customFormat="1" x14ac:dyDescent="0.25">
      <c r="A44" s="59" t="s">
        <v>34</v>
      </c>
      <c r="B44" s="447" t="s">
        <v>143</v>
      </c>
      <c r="C44" s="60">
        <v>3512550</v>
      </c>
      <c r="D44" s="60">
        <v>3378800</v>
      </c>
      <c r="E44" s="60">
        <v>3650721</v>
      </c>
      <c r="F44" s="60">
        <v>3255982</v>
      </c>
      <c r="G44" s="60">
        <v>3650721</v>
      </c>
      <c r="H44" s="60">
        <v>3418380</v>
      </c>
      <c r="I44" s="60">
        <f>H44+120255</f>
        <v>3538635</v>
      </c>
      <c r="J44" s="60">
        <v>4900000</v>
      </c>
      <c r="K44" s="60">
        <v>3600000</v>
      </c>
      <c r="L44" s="60">
        <f>3600000+100000</f>
        <v>3700000</v>
      </c>
      <c r="M44" s="60">
        <f t="shared" si="3"/>
        <v>104.56009167376685</v>
      </c>
      <c r="N44" s="59"/>
      <c r="O44" s="60">
        <v>3700000</v>
      </c>
      <c r="P44" s="60">
        <v>3259481</v>
      </c>
      <c r="Q44" s="60">
        <v>3444429</v>
      </c>
      <c r="R44" s="60">
        <v>3700000</v>
      </c>
      <c r="S44" s="60">
        <v>3744785</v>
      </c>
      <c r="T44" s="60">
        <v>3744785</v>
      </c>
      <c r="U44" s="60">
        <f>1600000+3400000+578000-U53-U55</f>
        <v>4268000</v>
      </c>
      <c r="V44" s="60">
        <f t="shared" si="4"/>
        <v>4268000</v>
      </c>
      <c r="W44" s="60">
        <f t="shared" si="5"/>
        <v>4268000</v>
      </c>
      <c r="X44" s="60"/>
      <c r="Y44" s="38"/>
      <c r="Z44" s="140">
        <f t="shared" si="24"/>
        <v>1.1397183015847372</v>
      </c>
      <c r="AA44" s="124">
        <f t="shared" si="6"/>
        <v>4268000</v>
      </c>
      <c r="AB44" s="60">
        <v>3403611</v>
      </c>
      <c r="AC44" s="60">
        <v>3403611</v>
      </c>
      <c r="AD44" s="60">
        <v>3403611</v>
      </c>
      <c r="AE44" s="123">
        <f t="shared" si="23"/>
        <v>79.747211808809752</v>
      </c>
      <c r="AF44" s="60">
        <v>4268000</v>
      </c>
      <c r="AG44" s="217">
        <v>3403611</v>
      </c>
      <c r="AH44" s="60">
        <f t="shared" si="25"/>
        <v>4084333.1999999997</v>
      </c>
      <c r="AI44" s="63">
        <f>4300000+1800000+353000</f>
        <v>6453000</v>
      </c>
      <c r="AJ44" s="52"/>
      <c r="AK44" s="69">
        <f t="shared" si="8"/>
        <v>6453000</v>
      </c>
      <c r="AL44"/>
      <c r="AM44" s="348">
        <v>3403611</v>
      </c>
      <c r="AN44" s="678"/>
      <c r="AO44" s="678"/>
      <c r="AP44" s="382">
        <v>6453000</v>
      </c>
      <c r="AQ44" s="382">
        <v>4381532</v>
      </c>
      <c r="AR44" s="382">
        <v>4381532</v>
      </c>
      <c r="AS44" s="382">
        <v>4381532</v>
      </c>
      <c r="AT44" s="423">
        <v>4381532</v>
      </c>
      <c r="AU44" s="124">
        <f>AP44-AT44</f>
        <v>2071468</v>
      </c>
      <c r="AV44" s="59">
        <f>AU44/AP44*100</f>
        <v>32.100852316751897</v>
      </c>
      <c r="AW44" s="423">
        <v>6453000</v>
      </c>
      <c r="AX44" s="60">
        <f t="shared" si="26"/>
        <v>6969240</v>
      </c>
      <c r="AY44" s="124">
        <f t="shared" si="9"/>
        <v>6969240</v>
      </c>
      <c r="AZ44" s="124">
        <f t="shared" si="27"/>
        <v>6969240</v>
      </c>
      <c r="BA44" s="260">
        <f t="shared" si="28"/>
        <v>6969240</v>
      </c>
      <c r="BB44" s="60">
        <v>401098</v>
      </c>
      <c r="BC44" s="60">
        <v>6969240</v>
      </c>
      <c r="BD44" s="60">
        <v>4754205</v>
      </c>
      <c r="BE44" s="60">
        <v>4797683</v>
      </c>
      <c r="BF44" s="60">
        <v>4797683</v>
      </c>
      <c r="BG44" s="329">
        <f t="shared" si="29"/>
        <v>5233836</v>
      </c>
      <c r="BH44" s="60">
        <v>6450000</v>
      </c>
      <c r="BI44" s="60">
        <v>6450000</v>
      </c>
      <c r="BJ44" s="60">
        <v>4531243</v>
      </c>
      <c r="BK44" s="60">
        <v>4531243</v>
      </c>
      <c r="BL44" s="60">
        <v>6450000</v>
      </c>
      <c r="BM44" s="60">
        <v>6250000</v>
      </c>
      <c r="BN44" s="60">
        <v>6250000</v>
      </c>
      <c r="BO44" s="60">
        <v>4844695</v>
      </c>
      <c r="BP44" s="60">
        <f t="shared" si="31"/>
        <v>5813634</v>
      </c>
      <c r="BQ44" s="124">
        <f t="shared" si="32"/>
        <v>6394997.4000000004</v>
      </c>
      <c r="BR44" s="60">
        <v>6550000</v>
      </c>
      <c r="BS44" s="60">
        <v>6550000</v>
      </c>
      <c r="BT44" s="60">
        <v>6550000</v>
      </c>
      <c r="BU44" s="678">
        <v>6633000</v>
      </c>
      <c r="BV44" s="874">
        <v>6833000</v>
      </c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</row>
    <row r="45" spans="1:94" s="39" customFormat="1" x14ac:dyDescent="0.25">
      <c r="A45" s="59" t="s">
        <v>35</v>
      </c>
      <c r="B45" s="447" t="s">
        <v>144</v>
      </c>
      <c r="C45" s="60">
        <v>60000</v>
      </c>
      <c r="D45" s="60">
        <v>42678</v>
      </c>
      <c r="E45" s="60">
        <v>180000</v>
      </c>
      <c r="F45" s="60">
        <v>161403</v>
      </c>
      <c r="G45" s="60">
        <v>180000</v>
      </c>
      <c r="H45" s="60">
        <v>172418</v>
      </c>
      <c r="I45" s="60">
        <f>H45+34250</f>
        <v>206668</v>
      </c>
      <c r="J45" s="60">
        <v>256000</v>
      </c>
      <c r="K45" s="60">
        <v>256000</v>
      </c>
      <c r="L45" s="60">
        <v>256000</v>
      </c>
      <c r="M45" s="60">
        <f t="shared" si="3"/>
        <v>123.87016857955754</v>
      </c>
      <c r="N45" s="59"/>
      <c r="O45" s="60">
        <v>256000</v>
      </c>
      <c r="P45" s="60">
        <v>231580</v>
      </c>
      <c r="Q45" s="60">
        <v>296965</v>
      </c>
      <c r="R45" s="60">
        <v>256000</v>
      </c>
      <c r="S45" s="60">
        <v>353955</v>
      </c>
      <c r="T45" s="60">
        <v>353955</v>
      </c>
      <c r="U45" s="60">
        <f>36000+220000</f>
        <v>256000</v>
      </c>
      <c r="V45" s="60">
        <f t="shared" si="4"/>
        <v>256000</v>
      </c>
      <c r="W45" s="60">
        <f t="shared" si="5"/>
        <v>256000</v>
      </c>
      <c r="X45" s="60"/>
      <c r="Y45" s="38"/>
      <c r="Z45" s="140">
        <f t="shared" si="24"/>
        <v>0.72325578110211752</v>
      </c>
      <c r="AA45" s="124">
        <f t="shared" si="6"/>
        <v>256000</v>
      </c>
      <c r="AB45" s="60">
        <v>185891</v>
      </c>
      <c r="AC45" s="60">
        <v>268741</v>
      </c>
      <c r="AD45" s="60">
        <v>272461</v>
      </c>
      <c r="AE45" s="123">
        <f t="shared" si="23"/>
        <v>106.43007812500001</v>
      </c>
      <c r="AF45" s="60">
        <v>400000</v>
      </c>
      <c r="AG45" s="217">
        <v>303421</v>
      </c>
      <c r="AH45" s="60">
        <f t="shared" si="25"/>
        <v>364105.19999999995</v>
      </c>
      <c r="AI45" s="63">
        <f t="shared" si="1"/>
        <v>371387.30399999995</v>
      </c>
      <c r="AJ45" s="52"/>
      <c r="AK45" s="69">
        <f t="shared" si="8"/>
        <v>371387.30399999995</v>
      </c>
      <c r="AL45"/>
      <c r="AM45" s="348">
        <v>351036</v>
      </c>
      <c r="AN45" s="678"/>
      <c r="AO45" s="678"/>
      <c r="AP45" s="382">
        <v>371387</v>
      </c>
      <c r="AQ45" s="382">
        <v>99915</v>
      </c>
      <c r="AR45" s="381">
        <f t="shared" si="14"/>
        <v>271472</v>
      </c>
      <c r="AS45" s="54">
        <f t="shared" si="19"/>
        <v>26.903203396995583</v>
      </c>
      <c r="AT45" s="60">
        <v>115395</v>
      </c>
      <c r="AU45" s="124">
        <f>AP45-AT45</f>
        <v>255992</v>
      </c>
      <c r="AV45" s="59">
        <f>AU45/AP45*100</f>
        <v>68.928637782151768</v>
      </c>
      <c r="AW45" s="423">
        <v>371387</v>
      </c>
      <c r="AX45" s="60">
        <f t="shared" si="26"/>
        <v>401097.96</v>
      </c>
      <c r="AY45" s="124">
        <f t="shared" si="9"/>
        <v>401097.96</v>
      </c>
      <c r="AZ45" s="124">
        <f t="shared" si="27"/>
        <v>401097.96</v>
      </c>
      <c r="BA45" s="260">
        <f t="shared" si="28"/>
        <v>401097.96</v>
      </c>
      <c r="BB45" s="60">
        <v>378000</v>
      </c>
      <c r="BC45" s="60">
        <v>401098</v>
      </c>
      <c r="BD45" s="60">
        <v>105145</v>
      </c>
      <c r="BE45" s="60">
        <v>128065</v>
      </c>
      <c r="BF45" s="60">
        <v>128065</v>
      </c>
      <c r="BG45" s="329">
        <f t="shared" si="29"/>
        <v>139707.27272727274</v>
      </c>
      <c r="BH45" s="60">
        <v>520000</v>
      </c>
      <c r="BI45" s="60">
        <v>520000</v>
      </c>
      <c r="BJ45" s="60">
        <v>95100</v>
      </c>
      <c r="BK45" s="60">
        <v>110600</v>
      </c>
      <c r="BL45" s="60">
        <v>520000</v>
      </c>
      <c r="BM45" s="60">
        <v>520000</v>
      </c>
      <c r="BN45" s="60">
        <v>520000</v>
      </c>
      <c r="BO45" s="60">
        <v>363110</v>
      </c>
      <c r="BP45" s="60">
        <f t="shared" si="31"/>
        <v>435732</v>
      </c>
      <c r="BQ45" s="124">
        <f t="shared" si="32"/>
        <v>479305.2</v>
      </c>
      <c r="BR45" s="60">
        <v>700000</v>
      </c>
      <c r="BS45" s="60">
        <v>700000</v>
      </c>
      <c r="BT45" s="60">
        <v>700000</v>
      </c>
      <c r="BU45" s="678">
        <v>500000</v>
      </c>
      <c r="BV45" s="874">
        <v>670000</v>
      </c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</row>
    <row r="46" spans="1:94" s="39" customFormat="1" x14ac:dyDescent="0.25">
      <c r="A46" s="59" t="s">
        <v>36</v>
      </c>
      <c r="B46" s="447" t="s">
        <v>145</v>
      </c>
      <c r="C46" s="60">
        <v>0</v>
      </c>
      <c r="D46" s="60">
        <v>129000</v>
      </c>
      <c r="E46" s="60">
        <v>0</v>
      </c>
      <c r="F46" s="60">
        <v>246000</v>
      </c>
      <c r="G46" s="60">
        <v>352000</v>
      </c>
      <c r="H46" s="60">
        <v>246000</v>
      </c>
      <c r="I46" s="60">
        <f>H46+156000</f>
        <v>402000</v>
      </c>
      <c r="J46" s="60">
        <v>312000</v>
      </c>
      <c r="K46" s="60">
        <v>312000</v>
      </c>
      <c r="L46" s="60">
        <v>312000</v>
      </c>
      <c r="M46" s="60">
        <f t="shared" si="3"/>
        <v>77.611940298507463</v>
      </c>
      <c r="N46" s="59"/>
      <c r="O46" s="60">
        <v>312000</v>
      </c>
      <c r="P46" s="60">
        <v>156000</v>
      </c>
      <c r="Q46" s="60">
        <v>150000</v>
      </c>
      <c r="R46" s="60">
        <v>312000</v>
      </c>
      <c r="S46" s="60">
        <v>294000</v>
      </c>
      <c r="T46" s="60">
        <v>294000</v>
      </c>
      <c r="U46" s="60">
        <f>108000+204000</f>
        <v>312000</v>
      </c>
      <c r="V46" s="60">
        <f t="shared" si="4"/>
        <v>312000</v>
      </c>
      <c r="W46" s="60">
        <f t="shared" si="5"/>
        <v>312000</v>
      </c>
      <c r="X46" s="60"/>
      <c r="Y46" s="38"/>
      <c r="Z46" s="140">
        <f t="shared" si="24"/>
        <v>1.0612244897959184</v>
      </c>
      <c r="AA46" s="124">
        <f t="shared" si="6"/>
        <v>312000</v>
      </c>
      <c r="AB46" s="60">
        <v>0</v>
      </c>
      <c r="AC46" s="60">
        <v>144000</v>
      </c>
      <c r="AD46" s="60">
        <v>144000</v>
      </c>
      <c r="AE46" s="123">
        <f t="shared" si="23"/>
        <v>46.153846153846153</v>
      </c>
      <c r="AF46" s="60">
        <v>312000</v>
      </c>
      <c r="AG46" s="217">
        <v>144000</v>
      </c>
      <c r="AH46" s="60">
        <f t="shared" si="25"/>
        <v>172800</v>
      </c>
      <c r="AI46" s="63">
        <v>350000</v>
      </c>
      <c r="AJ46" s="52"/>
      <c r="AK46" s="69">
        <f t="shared" si="8"/>
        <v>350000</v>
      </c>
      <c r="AL46"/>
      <c r="AM46" s="348">
        <v>300000</v>
      </c>
      <c r="AN46" s="678"/>
      <c r="AO46" s="678"/>
      <c r="AP46" s="382">
        <v>350000</v>
      </c>
      <c r="AQ46" s="382">
        <v>156000</v>
      </c>
      <c r="AR46" s="382">
        <v>156000</v>
      </c>
      <c r="AS46" s="382">
        <v>156000</v>
      </c>
      <c r="AT46" s="423">
        <v>156000</v>
      </c>
      <c r="AU46" s="124">
        <f>AP46-AT46</f>
        <v>194000</v>
      </c>
      <c r="AV46" s="59">
        <f>AU46/AP46*100</f>
        <v>55.428571428571431</v>
      </c>
      <c r="AW46" s="423">
        <v>350000</v>
      </c>
      <c r="AX46" s="60">
        <f t="shared" si="26"/>
        <v>378000</v>
      </c>
      <c r="AY46" s="124">
        <f t="shared" si="9"/>
        <v>378000</v>
      </c>
      <c r="AZ46" s="124">
        <f t="shared" si="27"/>
        <v>378000</v>
      </c>
      <c r="BA46" s="260">
        <f t="shared" si="28"/>
        <v>378000</v>
      </c>
      <c r="BB46" s="60"/>
      <c r="BC46" s="60">
        <v>378000</v>
      </c>
      <c r="BD46" s="60">
        <v>324000</v>
      </c>
      <c r="BE46" s="60">
        <v>324000</v>
      </c>
      <c r="BF46" s="60">
        <v>324000</v>
      </c>
      <c r="BG46" s="329">
        <f t="shared" si="29"/>
        <v>353454.54545454547</v>
      </c>
      <c r="BH46" s="60">
        <v>380000</v>
      </c>
      <c r="BI46" s="60">
        <v>380000</v>
      </c>
      <c r="BJ46" s="60">
        <v>0</v>
      </c>
      <c r="BK46" s="60">
        <v>156000</v>
      </c>
      <c r="BL46" s="60">
        <v>380000</v>
      </c>
      <c r="BM46" s="60">
        <v>200000</v>
      </c>
      <c r="BN46" s="60">
        <v>200000</v>
      </c>
      <c r="BO46" s="60">
        <v>0</v>
      </c>
      <c r="BP46" s="60">
        <f t="shared" si="31"/>
        <v>0</v>
      </c>
      <c r="BQ46" s="124">
        <f t="shared" si="32"/>
        <v>0</v>
      </c>
      <c r="BR46" s="60"/>
      <c r="BS46" s="60"/>
      <c r="BT46" s="60"/>
      <c r="BU46" s="678"/>
      <c r="BV46" s="874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</row>
    <row r="47" spans="1:94" s="39" customFormat="1" x14ac:dyDescent="0.25">
      <c r="A47" s="59" t="s">
        <v>488</v>
      </c>
      <c r="B47" s="447" t="s">
        <v>489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59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38"/>
      <c r="Z47" s="140"/>
      <c r="AA47" s="124"/>
      <c r="AB47" s="60"/>
      <c r="AC47" s="60"/>
      <c r="AD47" s="60"/>
      <c r="AE47" s="123"/>
      <c r="AF47" s="60"/>
      <c r="AG47" s="217"/>
      <c r="AH47" s="60"/>
      <c r="AI47" s="63"/>
      <c r="AJ47" s="52"/>
      <c r="AK47" s="69"/>
      <c r="AL47"/>
      <c r="AM47" s="348"/>
      <c r="AN47" s="678"/>
      <c r="AO47" s="678"/>
      <c r="AP47" s="382"/>
      <c r="AQ47" s="382"/>
      <c r="AR47" s="382"/>
      <c r="AS47" s="382"/>
      <c r="AT47" s="423"/>
      <c r="AU47" s="124"/>
      <c r="AV47" s="59"/>
      <c r="AW47" s="423"/>
      <c r="AX47" s="60"/>
      <c r="AY47" s="124"/>
      <c r="AZ47" s="124"/>
      <c r="BA47" s="260"/>
      <c r="BB47" s="60"/>
      <c r="BC47" s="60"/>
      <c r="BD47" s="60"/>
      <c r="BE47" s="60"/>
      <c r="BF47" s="60"/>
      <c r="BG47" s="329">
        <f t="shared" si="29"/>
        <v>0</v>
      </c>
      <c r="BH47" s="60"/>
      <c r="BI47" s="60"/>
      <c r="BJ47" s="60"/>
      <c r="BK47" s="60"/>
      <c r="BL47" s="60"/>
      <c r="BM47" s="60">
        <f t="shared" si="30"/>
        <v>0</v>
      </c>
      <c r="BN47" s="60"/>
      <c r="BO47" s="60"/>
      <c r="BP47" s="60">
        <f t="shared" si="31"/>
        <v>0</v>
      </c>
      <c r="BQ47" s="124">
        <f t="shared" si="32"/>
        <v>0</v>
      </c>
      <c r="BR47" s="60"/>
      <c r="BS47" s="60"/>
      <c r="BT47" s="60"/>
      <c r="BU47" s="678"/>
      <c r="BV47" s="874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</row>
    <row r="48" spans="1:94" s="39" customFormat="1" x14ac:dyDescent="0.25">
      <c r="A48" s="59" t="s">
        <v>228</v>
      </c>
      <c r="B48" s="447" t="s">
        <v>229</v>
      </c>
      <c r="C48" s="60"/>
      <c r="D48" s="60"/>
      <c r="E48" s="60"/>
      <c r="F48" s="60"/>
      <c r="G48" s="60">
        <v>1504933</v>
      </c>
      <c r="H48" s="60">
        <v>827472</v>
      </c>
      <c r="I48" s="60">
        <f>H48+527180</f>
        <v>1354652</v>
      </c>
      <c r="J48" s="60"/>
      <c r="K48" s="60"/>
      <c r="L48" s="60"/>
      <c r="M48" s="60">
        <f t="shared" si="3"/>
        <v>0</v>
      </c>
      <c r="N48" s="59"/>
      <c r="O48" s="60">
        <v>1000000</v>
      </c>
      <c r="P48" s="60">
        <v>960918</v>
      </c>
      <c r="Q48" s="60">
        <v>1013353</v>
      </c>
      <c r="R48" s="60"/>
      <c r="S48" s="60">
        <v>1073473</v>
      </c>
      <c r="T48" s="60">
        <v>1073473</v>
      </c>
      <c r="U48" s="60"/>
      <c r="V48" s="60">
        <f t="shared" si="4"/>
        <v>0</v>
      </c>
      <c r="W48" s="60">
        <f t="shared" si="5"/>
        <v>0</v>
      </c>
      <c r="X48" s="60"/>
      <c r="Y48" s="38"/>
      <c r="Z48" s="140">
        <f t="shared" si="24"/>
        <v>0</v>
      </c>
      <c r="AA48" s="124">
        <f t="shared" si="6"/>
        <v>0</v>
      </c>
      <c r="AB48" s="60">
        <v>1124684</v>
      </c>
      <c r="AC48" s="60">
        <v>1334884</v>
      </c>
      <c r="AD48" s="60">
        <v>1334884</v>
      </c>
      <c r="AE48" s="123"/>
      <c r="AF48" s="60">
        <v>2500000</v>
      </c>
      <c r="AG48" s="217">
        <v>1345609</v>
      </c>
      <c r="AH48" s="60">
        <f t="shared" si="25"/>
        <v>1614730.7999999998</v>
      </c>
      <c r="AI48" s="63"/>
      <c r="AJ48" s="52"/>
      <c r="AK48" s="69">
        <f t="shared" si="8"/>
        <v>0</v>
      </c>
      <c r="AL48"/>
      <c r="AM48" s="348">
        <v>1522982</v>
      </c>
      <c r="AN48" s="678"/>
      <c r="AO48" s="678"/>
      <c r="AP48" s="382">
        <v>656000</v>
      </c>
      <c r="AQ48" s="382">
        <v>619523</v>
      </c>
      <c r="AR48" s="381">
        <f t="shared" si="14"/>
        <v>36477</v>
      </c>
      <c r="AS48" s="54">
        <f t="shared" si="19"/>
        <v>94.439481707317071</v>
      </c>
      <c r="AT48" s="60">
        <v>650280</v>
      </c>
      <c r="AU48" s="124">
        <f>AP48-AT48</f>
        <v>5720</v>
      </c>
      <c r="AV48" s="59">
        <f>AU48/AP48*100</f>
        <v>0.87195121951219523</v>
      </c>
      <c r="AW48" s="423"/>
      <c r="AX48" s="60">
        <f t="shared" si="26"/>
        <v>0</v>
      </c>
      <c r="AY48" s="124">
        <f t="shared" si="9"/>
        <v>0</v>
      </c>
      <c r="AZ48" s="124">
        <f t="shared" si="27"/>
        <v>0</v>
      </c>
      <c r="BA48" s="260">
        <f t="shared" si="28"/>
        <v>0</v>
      </c>
      <c r="BB48" s="60">
        <v>0</v>
      </c>
      <c r="BC48" s="60">
        <v>1284919</v>
      </c>
      <c r="BD48" s="60">
        <v>1284919</v>
      </c>
      <c r="BE48" s="60">
        <v>1350089</v>
      </c>
      <c r="BF48" s="60">
        <v>1407493</v>
      </c>
      <c r="BG48" s="329">
        <f t="shared" si="29"/>
        <v>1535446.9090909092</v>
      </c>
      <c r="BH48" s="60">
        <v>3120000</v>
      </c>
      <c r="BI48" s="60">
        <v>3120000</v>
      </c>
      <c r="BJ48" s="60">
        <v>1600623</v>
      </c>
      <c r="BK48" s="60">
        <v>2271466</v>
      </c>
      <c r="BL48" s="60">
        <v>3120000</v>
      </c>
      <c r="BM48" s="60"/>
      <c r="BN48" s="60">
        <v>0</v>
      </c>
      <c r="BO48" s="60">
        <v>2322518</v>
      </c>
      <c r="BP48" s="60">
        <f t="shared" si="31"/>
        <v>2787021.5999999996</v>
      </c>
      <c r="BQ48" s="124">
        <f t="shared" si="32"/>
        <v>3065723.76</v>
      </c>
      <c r="BR48" s="60">
        <v>3000000</v>
      </c>
      <c r="BS48" s="60">
        <v>3000000</v>
      </c>
      <c r="BT48" s="60">
        <v>3000000</v>
      </c>
      <c r="BU48" s="678">
        <v>3100000</v>
      </c>
      <c r="BV48" s="874">
        <v>4300000</v>
      </c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</row>
    <row r="49" spans="1:94" s="39" customFormat="1" x14ac:dyDescent="0.25">
      <c r="A49" s="59" t="s">
        <v>255</v>
      </c>
      <c r="B49" s="447" t="s">
        <v>256</v>
      </c>
      <c r="C49" s="60"/>
      <c r="D49" s="60"/>
      <c r="E49" s="60"/>
      <c r="F49" s="60"/>
      <c r="G49" s="60"/>
      <c r="H49" s="60"/>
      <c r="I49" s="60">
        <f t="shared" si="2"/>
        <v>0</v>
      </c>
      <c r="J49" s="60"/>
      <c r="K49" s="60"/>
      <c r="L49" s="60"/>
      <c r="M49" s="60">
        <f t="shared" si="3"/>
        <v>0</v>
      </c>
      <c r="N49" s="59"/>
      <c r="O49" s="60"/>
      <c r="P49" s="60"/>
      <c r="Q49" s="60"/>
      <c r="R49" s="60"/>
      <c r="S49" s="60"/>
      <c r="T49" s="60"/>
      <c r="U49" s="60"/>
      <c r="V49" s="60">
        <f t="shared" si="4"/>
        <v>0</v>
      </c>
      <c r="W49" s="60">
        <f t="shared" si="5"/>
        <v>0</v>
      </c>
      <c r="X49" s="60"/>
      <c r="Y49" s="38"/>
      <c r="Z49" s="140" t="e">
        <f t="shared" si="24"/>
        <v>#DIV/0!</v>
      </c>
      <c r="AA49" s="124">
        <f t="shared" si="6"/>
        <v>0</v>
      </c>
      <c r="AB49" s="60"/>
      <c r="AC49" s="60"/>
      <c r="AD49" s="60"/>
      <c r="AE49" s="123"/>
      <c r="AF49" s="60"/>
      <c r="AG49" s="217"/>
      <c r="AH49" s="60">
        <f t="shared" si="25"/>
        <v>0</v>
      </c>
      <c r="AI49" s="63">
        <f t="shared" si="1"/>
        <v>0</v>
      </c>
      <c r="AJ49" s="52"/>
      <c r="AK49" s="69">
        <f t="shared" si="8"/>
        <v>0</v>
      </c>
      <c r="AL49"/>
      <c r="AM49" s="348"/>
      <c r="AN49" s="678"/>
      <c r="AO49" s="678"/>
      <c r="AP49" s="382"/>
      <c r="AQ49" s="382"/>
      <c r="AR49" s="381">
        <f t="shared" si="14"/>
        <v>0</v>
      </c>
      <c r="AS49" s="54"/>
      <c r="AT49" s="60"/>
      <c r="AU49" s="124"/>
      <c r="AV49" s="59"/>
      <c r="AW49" s="423"/>
      <c r="AX49" s="60">
        <f t="shared" si="26"/>
        <v>0</v>
      </c>
      <c r="AY49" s="124">
        <f t="shared" si="9"/>
        <v>0</v>
      </c>
      <c r="AZ49" s="124">
        <f t="shared" si="27"/>
        <v>0</v>
      </c>
      <c r="BA49" s="260">
        <f t="shared" si="28"/>
        <v>0</v>
      </c>
      <c r="BB49" s="60"/>
      <c r="BC49" s="60"/>
      <c r="BD49" s="60"/>
      <c r="BE49" s="60"/>
      <c r="BF49" s="60"/>
      <c r="BG49" s="329">
        <f t="shared" si="29"/>
        <v>0</v>
      </c>
      <c r="BH49" s="60"/>
      <c r="BI49" s="60"/>
      <c r="BJ49" s="60"/>
      <c r="BK49" s="60"/>
      <c r="BL49" s="60"/>
      <c r="BM49" s="60">
        <f t="shared" si="30"/>
        <v>0</v>
      </c>
      <c r="BN49" s="60"/>
      <c r="BO49" s="60"/>
      <c r="BP49" s="60">
        <f t="shared" si="31"/>
        <v>0</v>
      </c>
      <c r="BQ49" s="124">
        <f t="shared" si="32"/>
        <v>0</v>
      </c>
      <c r="BR49" s="60"/>
      <c r="BS49" s="60"/>
      <c r="BT49" s="60"/>
      <c r="BU49" s="678"/>
      <c r="BV49" s="874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</row>
    <row r="50" spans="1:94" s="39" customFormat="1" x14ac:dyDescent="0.25">
      <c r="A50" s="59" t="s">
        <v>37</v>
      </c>
      <c r="B50" s="447" t="s">
        <v>146</v>
      </c>
      <c r="C50" s="60">
        <v>750000</v>
      </c>
      <c r="D50" s="60">
        <v>894257</v>
      </c>
      <c r="E50" s="60">
        <v>1850000</v>
      </c>
      <c r="F50" s="60">
        <v>1273487</v>
      </c>
      <c r="G50" s="60">
        <v>1850000</v>
      </c>
      <c r="H50" s="60">
        <v>1344487</v>
      </c>
      <c r="I50" s="60">
        <f>H50+71000</f>
        <v>1415487</v>
      </c>
      <c r="J50" s="60">
        <v>1300000</v>
      </c>
      <c r="K50" s="60">
        <v>1300000</v>
      </c>
      <c r="L50" s="60">
        <v>1300000</v>
      </c>
      <c r="M50" s="60">
        <f t="shared" si="3"/>
        <v>91.841182575325661</v>
      </c>
      <c r="N50" s="59"/>
      <c r="O50" s="60">
        <v>1500000</v>
      </c>
      <c r="P50" s="60">
        <v>1461118</v>
      </c>
      <c r="Q50" s="60">
        <v>1591183</v>
      </c>
      <c r="R50" s="60">
        <v>1300000</v>
      </c>
      <c r="S50" s="60">
        <v>1783183</v>
      </c>
      <c r="T50" s="60">
        <v>1783183</v>
      </c>
      <c r="U50" s="60">
        <v>1300000</v>
      </c>
      <c r="V50" s="60">
        <f t="shared" si="4"/>
        <v>1300000</v>
      </c>
      <c r="W50" s="60">
        <f t="shared" si="5"/>
        <v>1300000</v>
      </c>
      <c r="X50" s="60"/>
      <c r="Y50" s="38"/>
      <c r="Z50" s="140">
        <f t="shared" si="24"/>
        <v>0.72903341945274269</v>
      </c>
      <c r="AA50" s="124">
        <f t="shared" si="6"/>
        <v>1300000</v>
      </c>
      <c r="AB50" s="60">
        <v>1735304</v>
      </c>
      <c r="AC50" s="60">
        <v>1991304</v>
      </c>
      <c r="AD50" s="60">
        <v>2015304</v>
      </c>
      <c r="AE50" s="123">
        <f t="shared" si="23"/>
        <v>155.0233846153846</v>
      </c>
      <c r="AF50" s="60">
        <v>2570000</v>
      </c>
      <c r="AG50" s="217">
        <v>2290733</v>
      </c>
      <c r="AH50" s="60">
        <f t="shared" si="25"/>
        <v>2748879.5999999996</v>
      </c>
      <c r="AI50" s="63"/>
      <c r="AJ50" s="52"/>
      <c r="AK50" s="69">
        <f t="shared" si="8"/>
        <v>0</v>
      </c>
      <c r="AL50"/>
      <c r="AM50" s="348">
        <v>2932533</v>
      </c>
      <c r="AN50" s="678"/>
      <c r="AO50" s="678"/>
      <c r="AP50" s="382">
        <v>1432000</v>
      </c>
      <c r="AQ50" s="382">
        <v>1327730</v>
      </c>
      <c r="AR50" s="382">
        <v>1327730</v>
      </c>
      <c r="AS50" s="382">
        <v>1327730</v>
      </c>
      <c r="AT50" s="423">
        <v>1327730</v>
      </c>
      <c r="AU50" s="124">
        <f t="shared" ref="AU50:AU57" si="33">AP50-AT50</f>
        <v>104270</v>
      </c>
      <c r="AV50" s="59">
        <f>AU50/AP50*100</f>
        <v>7.2814245810055871</v>
      </c>
      <c r="AW50" s="423"/>
      <c r="AX50" s="60">
        <f t="shared" si="26"/>
        <v>0</v>
      </c>
      <c r="AY50" s="124">
        <f t="shared" si="9"/>
        <v>0</v>
      </c>
      <c r="AZ50" s="124">
        <f t="shared" si="27"/>
        <v>0</v>
      </c>
      <c r="BA50" s="260">
        <f t="shared" si="28"/>
        <v>0</v>
      </c>
      <c r="BB50" s="60">
        <v>0</v>
      </c>
      <c r="BC50" s="60">
        <v>1274400</v>
      </c>
      <c r="BD50" s="60">
        <v>1274400</v>
      </c>
      <c r="BE50" s="60">
        <v>1498400</v>
      </c>
      <c r="BF50" s="60">
        <v>1642400</v>
      </c>
      <c r="BG50" s="329">
        <f t="shared" si="29"/>
        <v>1791709.0909090908</v>
      </c>
      <c r="BH50" s="60"/>
      <c r="BI50" s="60">
        <v>864000</v>
      </c>
      <c r="BJ50" s="60">
        <v>864000</v>
      </c>
      <c r="BK50" s="60">
        <v>1861641</v>
      </c>
      <c r="BL50" s="60">
        <v>864000</v>
      </c>
      <c r="BM50" s="60">
        <v>2400000</v>
      </c>
      <c r="BN50" s="60">
        <v>2400000</v>
      </c>
      <c r="BO50" s="60">
        <v>4343291</v>
      </c>
      <c r="BP50" s="60">
        <f t="shared" si="31"/>
        <v>5211949.1999999993</v>
      </c>
      <c r="BQ50" s="124">
        <f t="shared" si="32"/>
        <v>5733144.1199999992</v>
      </c>
      <c r="BR50" s="60">
        <v>5700000</v>
      </c>
      <c r="BS50" s="60">
        <v>5700000</v>
      </c>
      <c r="BT50" s="60">
        <v>5700000</v>
      </c>
      <c r="BU50" s="678">
        <v>4000000</v>
      </c>
      <c r="BV50" s="874">
        <v>2500000</v>
      </c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</row>
    <row r="51" spans="1:94" s="39" customFormat="1" x14ac:dyDescent="0.25">
      <c r="A51" s="59" t="s">
        <v>38</v>
      </c>
      <c r="B51" s="447" t="s">
        <v>147</v>
      </c>
      <c r="C51" s="60">
        <v>30000</v>
      </c>
      <c r="D51" s="60">
        <v>112000</v>
      </c>
      <c r="E51" s="60">
        <v>80000</v>
      </c>
      <c r="F51" s="60">
        <v>0</v>
      </c>
      <c r="G51" s="60">
        <v>80000</v>
      </c>
      <c r="H51" s="60">
        <v>0</v>
      </c>
      <c r="I51" s="60">
        <f t="shared" si="2"/>
        <v>0</v>
      </c>
      <c r="J51" s="60">
        <v>0</v>
      </c>
      <c r="K51" s="60">
        <v>0</v>
      </c>
      <c r="L51" s="60">
        <v>0</v>
      </c>
      <c r="M51" s="60">
        <f t="shared" si="3"/>
        <v>0</v>
      </c>
      <c r="N51" s="59"/>
      <c r="O51" s="60"/>
      <c r="P51" s="60"/>
      <c r="Q51" s="60"/>
      <c r="R51" s="60"/>
      <c r="S51" s="60">
        <v>50100</v>
      </c>
      <c r="T51" s="60">
        <v>50100</v>
      </c>
      <c r="U51" s="60"/>
      <c r="V51" s="60">
        <f t="shared" si="4"/>
        <v>0</v>
      </c>
      <c r="W51" s="60">
        <f t="shared" si="5"/>
        <v>0</v>
      </c>
      <c r="X51" s="60"/>
      <c r="Y51" s="38"/>
      <c r="Z51" s="140">
        <f t="shared" si="24"/>
        <v>0</v>
      </c>
      <c r="AA51" s="124">
        <f t="shared" si="6"/>
        <v>0</v>
      </c>
      <c r="AB51" s="60">
        <v>65000</v>
      </c>
      <c r="AC51" s="60">
        <v>65000</v>
      </c>
      <c r="AD51" s="60">
        <v>65000</v>
      </c>
      <c r="AE51" s="123"/>
      <c r="AF51" s="60">
        <v>200000</v>
      </c>
      <c r="AG51" s="217">
        <v>65000</v>
      </c>
      <c r="AH51" s="60">
        <f t="shared" si="25"/>
        <v>78000</v>
      </c>
      <c r="AI51" s="63">
        <f t="shared" si="1"/>
        <v>79560</v>
      </c>
      <c r="AJ51" s="52"/>
      <c r="AK51" s="69">
        <f t="shared" si="8"/>
        <v>79560</v>
      </c>
      <c r="AL51"/>
      <c r="AM51" s="348">
        <v>65000</v>
      </c>
      <c r="AN51" s="678"/>
      <c r="AO51" s="678"/>
      <c r="AP51" s="382">
        <v>79560</v>
      </c>
      <c r="AQ51" s="382">
        <v>31395</v>
      </c>
      <c r="AR51" s="382">
        <v>31395</v>
      </c>
      <c r="AS51" s="382">
        <v>31395</v>
      </c>
      <c r="AT51" s="423">
        <v>31395</v>
      </c>
      <c r="AU51" s="124">
        <f t="shared" si="33"/>
        <v>48165</v>
      </c>
      <c r="AV51" s="59">
        <f>AU51/AP51*100</f>
        <v>60.539215686274503</v>
      </c>
      <c r="AW51" s="423">
        <v>79560</v>
      </c>
      <c r="AX51" s="60">
        <f t="shared" si="26"/>
        <v>85924.800000000003</v>
      </c>
      <c r="AY51" s="124">
        <f t="shared" si="9"/>
        <v>85924.800000000003</v>
      </c>
      <c r="AZ51" s="124">
        <v>100000</v>
      </c>
      <c r="BA51" s="260">
        <f t="shared" si="28"/>
        <v>100000</v>
      </c>
      <c r="BB51" s="60">
        <v>100000</v>
      </c>
      <c r="BC51" s="60"/>
      <c r="BD51" s="60"/>
      <c r="BE51" s="60"/>
      <c r="BF51" s="60"/>
      <c r="BG51" s="329">
        <f t="shared" si="29"/>
        <v>0</v>
      </c>
      <c r="BH51" s="60"/>
      <c r="BI51" s="60"/>
      <c r="BJ51" s="60"/>
      <c r="BK51" s="60"/>
      <c r="BL51" s="60"/>
      <c r="BM51" s="60"/>
      <c r="BN51" s="60"/>
      <c r="BO51" s="60"/>
      <c r="BP51" s="60">
        <f t="shared" si="31"/>
        <v>0</v>
      </c>
      <c r="BQ51" s="124">
        <f t="shared" si="32"/>
        <v>0</v>
      </c>
      <c r="BR51" s="60"/>
      <c r="BS51" s="60"/>
      <c r="BT51" s="60"/>
      <c r="BU51" s="678">
        <v>1270000</v>
      </c>
      <c r="BV51" s="874">
        <v>1270000</v>
      </c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</row>
    <row r="52" spans="1:94" s="39" customFormat="1" x14ac:dyDescent="0.25">
      <c r="A52" s="59" t="s">
        <v>39</v>
      </c>
      <c r="B52" s="59" t="s">
        <v>148</v>
      </c>
      <c r="C52" s="60">
        <v>19771650</v>
      </c>
      <c r="D52" s="60">
        <v>18199755.41</v>
      </c>
      <c r="E52" s="60">
        <v>16720440.400000002</v>
      </c>
      <c r="F52" s="60">
        <v>13245811</v>
      </c>
      <c r="G52" s="60">
        <f>16720440.4+600000</f>
        <v>17320440.399999999</v>
      </c>
      <c r="H52" s="60">
        <v>14617949</v>
      </c>
      <c r="I52" s="60">
        <f>H52+1909821</f>
        <v>16527770</v>
      </c>
      <c r="J52" s="60">
        <v>15752388</v>
      </c>
      <c r="K52" s="60">
        <v>15752388</v>
      </c>
      <c r="L52" s="60">
        <f>15740688+(60000*0.195)+1600000*0.2</f>
        <v>16072388</v>
      </c>
      <c r="M52" s="60">
        <f t="shared" si="3"/>
        <v>97.244746266435229</v>
      </c>
      <c r="N52" s="59"/>
      <c r="O52" s="60">
        <v>16072388</v>
      </c>
      <c r="P52" s="60">
        <v>11841566</v>
      </c>
      <c r="Q52" s="60">
        <v>13067067</v>
      </c>
      <c r="R52" s="60">
        <v>16072388</v>
      </c>
      <c r="S52" s="60">
        <v>16009492</v>
      </c>
      <c r="T52" s="60">
        <v>16009492</v>
      </c>
      <c r="U52" s="60">
        <f>(U39+U41+U43+U45+U46+U50)*0.195</f>
        <v>18388784.699999999</v>
      </c>
      <c r="V52" s="60">
        <f t="shared" si="4"/>
        <v>18388784.699999999</v>
      </c>
      <c r="W52" s="60">
        <f t="shared" si="5"/>
        <v>18388784.699999999</v>
      </c>
      <c r="X52" s="60"/>
      <c r="Y52" s="38"/>
      <c r="Z52" s="140">
        <f t="shared" si="24"/>
        <v>1.1486176263431718</v>
      </c>
      <c r="AA52" s="124">
        <f t="shared" si="6"/>
        <v>18388784.699999999</v>
      </c>
      <c r="AB52" s="60">
        <v>8269695</v>
      </c>
      <c r="AC52" s="60">
        <v>10668396</v>
      </c>
      <c r="AD52" s="60"/>
      <c r="AE52" s="123">
        <f t="shared" si="23"/>
        <v>0</v>
      </c>
      <c r="AF52" s="60">
        <v>19698785</v>
      </c>
      <c r="AG52" s="217">
        <v>14021626</v>
      </c>
      <c r="AH52" s="60">
        <f t="shared" si="25"/>
        <v>16825951.200000003</v>
      </c>
      <c r="AI52" s="63">
        <f t="shared" si="1"/>
        <v>17162470.224000003</v>
      </c>
      <c r="AJ52" s="52"/>
      <c r="AK52" s="69">
        <f>(SUM(AK39:AK43)+AK45+AK46+AK51)*0.175</f>
        <v>20298876.395</v>
      </c>
      <c r="AL52"/>
      <c r="AM52" s="348">
        <v>16386163</v>
      </c>
      <c r="AN52" s="678"/>
      <c r="AO52" s="678"/>
      <c r="AP52" s="382">
        <v>21168850</v>
      </c>
      <c r="AQ52" s="382">
        <v>13740029</v>
      </c>
      <c r="AR52" s="381">
        <f t="shared" si="14"/>
        <v>7428821</v>
      </c>
      <c r="AS52" s="54">
        <f t="shared" si="19"/>
        <v>64.90682772092012</v>
      </c>
      <c r="AT52" s="60">
        <v>15150533</v>
      </c>
      <c r="AU52" s="124">
        <f t="shared" si="33"/>
        <v>6018317</v>
      </c>
      <c r="AV52" s="59">
        <f>AU52/AP52*100</f>
        <v>28.430061151172598</v>
      </c>
      <c r="AW52" s="423">
        <v>21168850</v>
      </c>
      <c r="AX52" s="60">
        <f t="shared" si="26"/>
        <v>22862358</v>
      </c>
      <c r="AY52" s="124">
        <f t="shared" si="9"/>
        <v>22862358</v>
      </c>
      <c r="AZ52" s="60">
        <v>20261342</v>
      </c>
      <c r="BA52" s="260">
        <f>AY52*1.08</f>
        <v>24691346.640000001</v>
      </c>
      <c r="BB52" s="60">
        <v>20261342</v>
      </c>
      <c r="BC52" s="60">
        <v>20261342</v>
      </c>
      <c r="BD52" s="60">
        <v>11281584</v>
      </c>
      <c r="BE52" s="60">
        <v>14031035</v>
      </c>
      <c r="BF52" s="60">
        <v>15510121</v>
      </c>
      <c r="BG52" s="329">
        <f t="shared" si="29"/>
        <v>16920132</v>
      </c>
      <c r="BH52" s="60">
        <v>18689450</v>
      </c>
      <c r="BI52" s="60">
        <v>18689450</v>
      </c>
      <c r="BJ52" s="60">
        <v>9762966</v>
      </c>
      <c r="BK52" s="60">
        <v>15252023</v>
      </c>
      <c r="BL52" s="60">
        <v>18689450</v>
      </c>
      <c r="BM52" s="60">
        <v>21721674</v>
      </c>
      <c r="BN52" s="60">
        <v>21721674</v>
      </c>
      <c r="BO52" s="60">
        <v>18042524</v>
      </c>
      <c r="BP52" s="60">
        <f t="shared" si="31"/>
        <v>21651028.799999997</v>
      </c>
      <c r="BQ52" s="124">
        <f t="shared" si="32"/>
        <v>23816131.68</v>
      </c>
      <c r="BR52" s="60">
        <v>24000000</v>
      </c>
      <c r="BS52" s="60">
        <f>SUM(BS39:BS51)*0.13</f>
        <v>26266942</v>
      </c>
      <c r="BT52" s="60">
        <f>SUM(BT39:BT51)*0.13</f>
        <v>26266942</v>
      </c>
      <c r="BU52" s="678">
        <v>30987138</v>
      </c>
      <c r="BV52" s="874">
        <v>34294026</v>
      </c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</row>
    <row r="53" spans="1:94" s="39" customFormat="1" x14ac:dyDescent="0.25">
      <c r="A53" s="59" t="s">
        <v>40</v>
      </c>
      <c r="B53" s="59" t="s">
        <v>149</v>
      </c>
      <c r="C53" s="60">
        <v>603582</v>
      </c>
      <c r="D53" s="60">
        <v>735796</v>
      </c>
      <c r="E53" s="60">
        <v>603098</v>
      </c>
      <c r="F53" s="60">
        <v>538115</v>
      </c>
      <c r="G53" s="60">
        <v>603098</v>
      </c>
      <c r="H53" s="60">
        <v>564945</v>
      </c>
      <c r="I53" s="60">
        <f>H53+18622</f>
        <v>583567</v>
      </c>
      <c r="J53" s="60">
        <v>0</v>
      </c>
      <c r="K53" s="60">
        <v>600000</v>
      </c>
      <c r="L53" s="60">
        <v>600000</v>
      </c>
      <c r="M53" s="60">
        <f t="shared" si="3"/>
        <v>102.8159577220782</v>
      </c>
      <c r="N53" s="59"/>
      <c r="O53" s="60">
        <v>600000</v>
      </c>
      <c r="P53" s="60">
        <f>528233+7178</f>
        <v>535411</v>
      </c>
      <c r="Q53" s="60">
        <f>7178+558788</f>
        <v>565966</v>
      </c>
      <c r="R53" s="60">
        <v>600000</v>
      </c>
      <c r="S53" s="60">
        <f>7178+619939</f>
        <v>627117</v>
      </c>
      <c r="T53" s="60">
        <f>7178+619939</f>
        <v>627117</v>
      </c>
      <c r="U53" s="60">
        <v>630000</v>
      </c>
      <c r="V53" s="60">
        <f t="shared" si="4"/>
        <v>630000</v>
      </c>
      <c r="W53" s="60">
        <f t="shared" si="5"/>
        <v>630000</v>
      </c>
      <c r="X53" s="60"/>
      <c r="Y53" s="38"/>
      <c r="Z53" s="140">
        <f t="shared" si="24"/>
        <v>1.0045972282684092</v>
      </c>
      <c r="AA53" s="124">
        <f t="shared" si="6"/>
        <v>630000</v>
      </c>
      <c r="AB53" s="60">
        <v>185795</v>
      </c>
      <c r="AC53" s="60">
        <v>185795</v>
      </c>
      <c r="AD53" s="60"/>
      <c r="AE53" s="123">
        <f t="shared" si="23"/>
        <v>0</v>
      </c>
      <c r="AF53" s="60"/>
      <c r="AG53" s="217">
        <v>185795</v>
      </c>
      <c r="AH53" s="60">
        <f t="shared" si="25"/>
        <v>222954</v>
      </c>
      <c r="AI53" s="63">
        <f t="shared" si="1"/>
        <v>227413.08000000002</v>
      </c>
      <c r="AJ53" s="52"/>
      <c r="AK53" s="69">
        <f t="shared" si="8"/>
        <v>227413.08000000002</v>
      </c>
      <c r="AL53"/>
      <c r="AM53" s="348">
        <v>281652</v>
      </c>
      <c r="AN53" s="678"/>
      <c r="AO53" s="678"/>
      <c r="AP53" s="382"/>
      <c r="AQ53" s="679">
        <v>100908</v>
      </c>
      <c r="AR53" s="680">
        <f t="shared" si="14"/>
        <v>-100908</v>
      </c>
      <c r="AS53" s="669"/>
      <c r="AT53" s="60"/>
      <c r="AU53" s="124">
        <f t="shared" si="33"/>
        <v>0</v>
      </c>
      <c r="AV53" s="59"/>
      <c r="AW53" s="423"/>
      <c r="AX53" s="60">
        <f t="shared" si="26"/>
        <v>0</v>
      </c>
      <c r="AY53" s="124">
        <f t="shared" si="9"/>
        <v>0</v>
      </c>
      <c r="AZ53" s="124">
        <f t="shared" si="27"/>
        <v>0</v>
      </c>
      <c r="BA53" s="260">
        <f t="shared" si="28"/>
        <v>0</v>
      </c>
      <c r="BB53" s="60"/>
      <c r="BC53" s="60"/>
      <c r="BD53" s="60"/>
      <c r="BE53" s="60"/>
      <c r="BF53" s="60"/>
      <c r="BG53" s="329">
        <f t="shared" si="29"/>
        <v>0</v>
      </c>
      <c r="BH53" s="60"/>
      <c r="BI53" s="60"/>
      <c r="BJ53" s="60"/>
      <c r="BK53" s="60"/>
      <c r="BL53" s="60"/>
      <c r="BM53" s="60"/>
      <c r="BN53" s="60"/>
      <c r="BO53" s="60"/>
      <c r="BP53" s="60">
        <f t="shared" si="31"/>
        <v>0</v>
      </c>
      <c r="BQ53" s="124">
        <f t="shared" si="32"/>
        <v>0</v>
      </c>
      <c r="BR53" s="60"/>
      <c r="BS53" s="60"/>
      <c r="BT53" s="60"/>
      <c r="BU53" s="678"/>
      <c r="BV53" s="874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</row>
    <row r="54" spans="1:94" s="39" customFormat="1" x14ac:dyDescent="0.25">
      <c r="A54" s="59" t="s">
        <v>41</v>
      </c>
      <c r="B54" s="59" t="s">
        <v>150</v>
      </c>
      <c r="C54" s="60">
        <v>0</v>
      </c>
      <c r="D54" s="60">
        <v>0</v>
      </c>
      <c r="E54" s="60">
        <v>0</v>
      </c>
      <c r="F54" s="60">
        <v>687463</v>
      </c>
      <c r="G54" s="60">
        <v>0</v>
      </c>
      <c r="H54" s="60">
        <v>772158</v>
      </c>
      <c r="I54" s="60">
        <f>H54+57540+4235</f>
        <v>833933</v>
      </c>
      <c r="J54" s="60">
        <v>0</v>
      </c>
      <c r="K54" s="60">
        <v>0</v>
      </c>
      <c r="L54" s="60">
        <v>0</v>
      </c>
      <c r="M54" s="60">
        <f t="shared" si="3"/>
        <v>0</v>
      </c>
      <c r="N54" s="59"/>
      <c r="O54" s="60"/>
      <c r="P54" s="60">
        <v>834471</v>
      </c>
      <c r="Q54" s="60">
        <v>1149264</v>
      </c>
      <c r="R54" s="60">
        <v>0</v>
      </c>
      <c r="S54" s="60">
        <v>1356144</v>
      </c>
      <c r="T54" s="60">
        <v>1356144</v>
      </c>
      <c r="U54" s="60"/>
      <c r="V54" s="60">
        <f t="shared" si="4"/>
        <v>0</v>
      </c>
      <c r="W54" s="60">
        <f t="shared" si="5"/>
        <v>0</v>
      </c>
      <c r="X54" s="60"/>
      <c r="Y54" s="38"/>
      <c r="Z54" s="140">
        <f t="shared" si="24"/>
        <v>0</v>
      </c>
      <c r="AA54" s="124">
        <f t="shared" si="6"/>
        <v>0</v>
      </c>
      <c r="AB54" s="60">
        <v>144979</v>
      </c>
      <c r="AC54" s="60">
        <v>144979</v>
      </c>
      <c r="AD54" s="60"/>
      <c r="AE54" s="123"/>
      <c r="AF54" s="60"/>
      <c r="AG54" s="217">
        <v>200895</v>
      </c>
      <c r="AH54" s="60">
        <f t="shared" si="25"/>
        <v>241074</v>
      </c>
      <c r="AI54" s="63">
        <f t="shared" si="1"/>
        <v>245895.48</v>
      </c>
      <c r="AJ54" s="52"/>
      <c r="AK54" s="69"/>
      <c r="AL54"/>
      <c r="AM54" s="348">
        <v>200895</v>
      </c>
      <c r="AN54" s="678"/>
      <c r="AO54" s="678"/>
      <c r="AP54" s="382"/>
      <c r="AQ54" s="679">
        <v>48171</v>
      </c>
      <c r="AR54" s="680">
        <f t="shared" si="14"/>
        <v>-48171</v>
      </c>
      <c r="AS54" s="669"/>
      <c r="AT54" s="60"/>
      <c r="AU54" s="124">
        <f t="shared" si="33"/>
        <v>0</v>
      </c>
      <c r="AV54" s="59"/>
      <c r="AW54" s="423"/>
      <c r="AX54" s="60">
        <f t="shared" si="26"/>
        <v>0</v>
      </c>
      <c r="AY54" s="124">
        <f t="shared" si="9"/>
        <v>0</v>
      </c>
      <c r="AZ54" s="124">
        <f t="shared" si="27"/>
        <v>0</v>
      </c>
      <c r="BA54" s="260">
        <f t="shared" si="28"/>
        <v>0</v>
      </c>
      <c r="BB54" s="60"/>
      <c r="BC54" s="60"/>
      <c r="BD54" s="60"/>
      <c r="BE54" s="60"/>
      <c r="BF54" s="60"/>
      <c r="BG54" s="329">
        <f t="shared" si="29"/>
        <v>0</v>
      </c>
      <c r="BH54" s="60"/>
      <c r="BI54" s="60"/>
      <c r="BJ54" s="60"/>
      <c r="BK54" s="60"/>
      <c r="BL54" s="60"/>
      <c r="BM54" s="60"/>
      <c r="BN54" s="60"/>
      <c r="BO54" s="60"/>
      <c r="BP54" s="60">
        <f t="shared" si="31"/>
        <v>0</v>
      </c>
      <c r="BQ54" s="124">
        <f t="shared" si="32"/>
        <v>0</v>
      </c>
      <c r="BR54" s="60"/>
      <c r="BS54" s="60"/>
      <c r="BT54" s="60"/>
      <c r="BU54" s="678"/>
      <c r="BV54" s="87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</row>
    <row r="55" spans="1:94" s="39" customFormat="1" x14ac:dyDescent="0.25">
      <c r="A55" s="59" t="s">
        <v>42</v>
      </c>
      <c r="B55" s="59" t="s">
        <v>151</v>
      </c>
      <c r="C55" s="60">
        <v>689754</v>
      </c>
      <c r="D55" s="60">
        <v>603090</v>
      </c>
      <c r="E55" s="60">
        <v>646178</v>
      </c>
      <c r="F55" s="60">
        <v>576525</v>
      </c>
      <c r="G55" s="60">
        <v>646178</v>
      </c>
      <c r="H55" s="60">
        <v>588242</v>
      </c>
      <c r="I55" s="60">
        <f>H55+19951</f>
        <v>608193</v>
      </c>
      <c r="J55" s="60">
        <v>0</v>
      </c>
      <c r="K55" s="60">
        <v>700000</v>
      </c>
      <c r="L55" s="60">
        <v>700000</v>
      </c>
      <c r="M55" s="60">
        <f t="shared" si="3"/>
        <v>115.09504384299063</v>
      </c>
      <c r="N55" s="59"/>
      <c r="O55" s="60">
        <v>700000</v>
      </c>
      <c r="P55" s="60">
        <v>577988</v>
      </c>
      <c r="Q55" s="60">
        <v>610724</v>
      </c>
      <c r="R55" s="60">
        <v>700000</v>
      </c>
      <c r="S55" s="60">
        <v>672754</v>
      </c>
      <c r="T55" s="60">
        <v>672754</v>
      </c>
      <c r="U55" s="60">
        <v>680000</v>
      </c>
      <c r="V55" s="60">
        <f t="shared" si="4"/>
        <v>680000</v>
      </c>
      <c r="W55" s="60">
        <f t="shared" si="5"/>
        <v>680000</v>
      </c>
      <c r="X55" s="60"/>
      <c r="Y55" s="38"/>
      <c r="Z55" s="140">
        <f t="shared" si="24"/>
        <v>1.0107706531659417</v>
      </c>
      <c r="AA55" s="124">
        <f t="shared" si="6"/>
        <v>680000</v>
      </c>
      <c r="AB55" s="60">
        <v>524968</v>
      </c>
      <c r="AC55" s="60">
        <v>524968</v>
      </c>
      <c r="AD55" s="60"/>
      <c r="AE55" s="123">
        <f t="shared" si="23"/>
        <v>0</v>
      </c>
      <c r="AF55" s="60"/>
      <c r="AG55" s="217">
        <v>524968</v>
      </c>
      <c r="AH55" s="60">
        <f t="shared" si="25"/>
        <v>629961.60000000009</v>
      </c>
      <c r="AI55" s="63">
        <f t="shared" si="1"/>
        <v>642560.83200000005</v>
      </c>
      <c r="AJ55" s="52"/>
      <c r="AK55" s="69">
        <f t="shared" si="8"/>
        <v>642560.83200000005</v>
      </c>
      <c r="AL55"/>
      <c r="AM55" s="348">
        <v>524968</v>
      </c>
      <c r="AN55" s="678"/>
      <c r="AO55" s="678"/>
      <c r="AP55" s="382"/>
      <c r="AQ55" s="679">
        <v>657585</v>
      </c>
      <c r="AR55" s="679">
        <v>657585</v>
      </c>
      <c r="AS55" s="679">
        <v>657585</v>
      </c>
      <c r="AT55" s="423"/>
      <c r="AU55" s="124">
        <f t="shared" si="33"/>
        <v>0</v>
      </c>
      <c r="AV55" s="59"/>
      <c r="AW55" s="423"/>
      <c r="AX55" s="60">
        <f t="shared" si="26"/>
        <v>0</v>
      </c>
      <c r="AY55" s="124">
        <f t="shared" si="9"/>
        <v>0</v>
      </c>
      <c r="AZ55" s="124">
        <f t="shared" si="27"/>
        <v>0</v>
      </c>
      <c r="BA55" s="260">
        <f t="shared" si="28"/>
        <v>0</v>
      </c>
      <c r="BB55" s="511"/>
      <c r="BC55" s="511"/>
      <c r="BD55" s="511"/>
      <c r="BE55" s="511"/>
      <c r="BF55" s="511"/>
      <c r="BG55" s="329">
        <f t="shared" si="29"/>
        <v>0</v>
      </c>
      <c r="BH55" s="60"/>
      <c r="BI55" s="60"/>
      <c r="BJ55" s="60"/>
      <c r="BK55" s="60"/>
      <c r="BL55" s="60"/>
      <c r="BM55" s="60"/>
      <c r="BN55" s="60"/>
      <c r="BO55" s="60"/>
      <c r="BP55" s="60">
        <f t="shared" si="31"/>
        <v>0</v>
      </c>
      <c r="BQ55" s="124">
        <f t="shared" si="32"/>
        <v>0</v>
      </c>
      <c r="BR55" s="60"/>
      <c r="BS55" s="60"/>
      <c r="BT55" s="60"/>
      <c r="BU55" s="678"/>
      <c r="BV55" s="874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</row>
    <row r="56" spans="1:94" x14ac:dyDescent="0.25">
      <c r="A56" s="54" t="s">
        <v>139</v>
      </c>
      <c r="B56" s="446" t="s">
        <v>230</v>
      </c>
      <c r="C56" s="55">
        <v>781000</v>
      </c>
      <c r="D56" s="55">
        <v>824198</v>
      </c>
      <c r="E56" s="55">
        <v>803000</v>
      </c>
      <c r="F56" s="55">
        <v>411366</v>
      </c>
      <c r="G56" s="55">
        <v>803000</v>
      </c>
      <c r="H56" s="55">
        <v>475467</v>
      </c>
      <c r="I56" s="55">
        <f t="shared" si="2"/>
        <v>518691.27272727271</v>
      </c>
      <c r="J56" s="55">
        <v>803000</v>
      </c>
      <c r="K56" s="55">
        <v>803000</v>
      </c>
      <c r="L56" s="55">
        <v>803000</v>
      </c>
      <c r="M56" s="55">
        <f t="shared" si="3"/>
        <v>154.81270694566257</v>
      </c>
      <c r="N56" s="54"/>
      <c r="O56" s="55">
        <v>803000</v>
      </c>
      <c r="P56" s="55">
        <v>377808</v>
      </c>
      <c r="Q56" s="55">
        <v>403428</v>
      </c>
      <c r="R56" s="55">
        <v>803000</v>
      </c>
      <c r="S56" s="55">
        <v>845000</v>
      </c>
      <c r="T56" s="55">
        <v>518174</v>
      </c>
      <c r="U56" s="55">
        <f>36000+767000+200000</f>
        <v>1003000</v>
      </c>
      <c r="V56" s="55">
        <f t="shared" si="4"/>
        <v>1003000</v>
      </c>
      <c r="W56" s="55">
        <f t="shared" si="5"/>
        <v>1003000</v>
      </c>
      <c r="X56" s="55"/>
      <c r="Z56" s="140">
        <f t="shared" si="24"/>
        <v>1.9356432395295788</v>
      </c>
      <c r="AA56" s="69">
        <f t="shared" si="6"/>
        <v>1003000</v>
      </c>
      <c r="AB56" s="55">
        <v>455517</v>
      </c>
      <c r="AC56" s="55">
        <v>470270</v>
      </c>
      <c r="AD56" s="55">
        <v>582740</v>
      </c>
      <c r="AE56" s="122">
        <f t="shared" si="23"/>
        <v>58.099700897308068</v>
      </c>
      <c r="AF56" s="55">
        <v>1003000</v>
      </c>
      <c r="AG56" s="222">
        <v>739119</v>
      </c>
      <c r="AH56" s="55">
        <f t="shared" si="7"/>
        <v>886942.79999999993</v>
      </c>
      <c r="AI56" s="63">
        <v>1200000</v>
      </c>
      <c r="AJ56" s="52"/>
      <c r="AK56" s="69">
        <f t="shared" si="8"/>
        <v>1200000</v>
      </c>
      <c r="AM56" s="347">
        <v>884861</v>
      </c>
      <c r="AN56" s="353"/>
      <c r="AO56" s="353"/>
      <c r="AP56" s="382">
        <v>890000</v>
      </c>
      <c r="AQ56" s="382">
        <v>745501</v>
      </c>
      <c r="AR56" s="381">
        <f t="shared" si="14"/>
        <v>144499</v>
      </c>
      <c r="AS56" s="54">
        <f t="shared" si="19"/>
        <v>83.764157303370794</v>
      </c>
      <c r="AT56" s="65">
        <v>771839</v>
      </c>
      <c r="AU56" s="69">
        <f t="shared" si="33"/>
        <v>118161</v>
      </c>
      <c r="AV56" s="54">
        <f>AU56/AP56*100</f>
        <v>13.276516853932584</v>
      </c>
      <c r="AW56" s="382">
        <v>1200000</v>
      </c>
      <c r="AX56" s="433">
        <v>1300000</v>
      </c>
      <c r="AY56" s="69">
        <f t="shared" si="9"/>
        <v>1300000</v>
      </c>
      <c r="AZ56" s="69">
        <f t="shared" si="27"/>
        <v>1300000</v>
      </c>
      <c r="BA56" s="258">
        <f t="shared" si="28"/>
        <v>1300000</v>
      </c>
      <c r="BB56" s="501">
        <v>1300000</v>
      </c>
      <c r="BC56" s="501">
        <v>1300000</v>
      </c>
      <c r="BD56" s="501">
        <v>502531</v>
      </c>
      <c r="BE56" s="501">
        <v>949523</v>
      </c>
      <c r="BF56" s="221">
        <v>1092259</v>
      </c>
      <c r="BG56" s="515">
        <f t="shared" si="15"/>
        <v>1310710.7999999998</v>
      </c>
      <c r="BH56" s="65">
        <v>1400000</v>
      </c>
      <c r="BI56" s="65">
        <v>1400000</v>
      </c>
      <c r="BJ56" s="55">
        <v>628043</v>
      </c>
      <c r="BK56" s="65">
        <v>693382</v>
      </c>
      <c r="BL56" s="69">
        <f t="shared" si="10"/>
        <v>832058.39999999991</v>
      </c>
      <c r="BM56" s="55">
        <v>1400000</v>
      </c>
      <c r="BN56" s="55">
        <v>1400000</v>
      </c>
      <c r="BO56" s="55">
        <v>605015</v>
      </c>
      <c r="BP56" s="55">
        <f>BO56/10*12</f>
        <v>726018</v>
      </c>
      <c r="BQ56" s="69">
        <f>BP56*1.1</f>
        <v>798619.8</v>
      </c>
      <c r="BR56" s="55">
        <v>1000000</v>
      </c>
      <c r="BS56" s="55">
        <v>1000000</v>
      </c>
      <c r="BT56" s="55">
        <v>1000000</v>
      </c>
      <c r="BU56" s="353">
        <v>800000</v>
      </c>
      <c r="BV56" s="347">
        <v>1250000</v>
      </c>
    </row>
    <row r="57" spans="1:94" x14ac:dyDescent="0.25">
      <c r="A57" s="54" t="s">
        <v>43</v>
      </c>
      <c r="B57" s="446" t="s">
        <v>152</v>
      </c>
      <c r="C57" s="55">
        <v>29089955</v>
      </c>
      <c r="D57" s="55">
        <v>26854980</v>
      </c>
      <c r="E57" s="55">
        <v>28275000</v>
      </c>
      <c r="F57" s="55">
        <v>21077939</v>
      </c>
      <c r="G57" s="55">
        <v>30586318</v>
      </c>
      <c r="H57" s="55">
        <v>23468187</v>
      </c>
      <c r="I57" s="55">
        <f t="shared" si="2"/>
        <v>25601658.545454547</v>
      </c>
      <c r="J57" s="55">
        <v>27775000</v>
      </c>
      <c r="K57" s="55">
        <v>27775000</v>
      </c>
      <c r="L57" s="55">
        <v>27775000</v>
      </c>
      <c r="M57" s="55">
        <f t="shared" si="3"/>
        <v>108.48906507633787</v>
      </c>
      <c r="N57" s="54"/>
      <c r="O57" s="55">
        <v>28575000</v>
      </c>
      <c r="P57" s="55">
        <v>18881296</v>
      </c>
      <c r="Q57" s="55">
        <v>22092894</v>
      </c>
      <c r="R57" s="55">
        <v>27775000</v>
      </c>
      <c r="S57" s="55">
        <v>27382000</v>
      </c>
      <c r="T57" s="55">
        <v>26714732</v>
      </c>
      <c r="U57" s="55">
        <f>26460000+1315000+328000</f>
        <v>28103000</v>
      </c>
      <c r="V57" s="55">
        <f t="shared" si="4"/>
        <v>28103000</v>
      </c>
      <c r="W57" s="55">
        <f t="shared" si="5"/>
        <v>28103000</v>
      </c>
      <c r="X57" s="122">
        <f>T57/V57*100</f>
        <v>95.060071878447133</v>
      </c>
      <c r="Z57" s="140">
        <f t="shared" si="24"/>
        <v>1.0519663831926145</v>
      </c>
      <c r="AA57" s="69">
        <f t="shared" si="6"/>
        <v>28103000</v>
      </c>
      <c r="AB57" s="55">
        <v>16437495</v>
      </c>
      <c r="AC57" s="55">
        <v>17935728</v>
      </c>
      <c r="AD57" s="55">
        <v>20068836</v>
      </c>
      <c r="AE57" s="122">
        <f t="shared" si="23"/>
        <v>71.411721168558515</v>
      </c>
      <c r="AF57" s="55">
        <v>28003000</v>
      </c>
      <c r="AG57" s="222">
        <v>23744371</v>
      </c>
      <c r="AH57" s="55">
        <f t="shared" si="7"/>
        <v>28493245.200000003</v>
      </c>
      <c r="AI57" s="63">
        <v>31000000</v>
      </c>
      <c r="AJ57" s="52"/>
      <c r="AK57" s="69">
        <f t="shared" si="8"/>
        <v>31000000</v>
      </c>
      <c r="AM57" s="347">
        <v>27970019</v>
      </c>
      <c r="AN57" s="353"/>
      <c r="AO57" s="353"/>
      <c r="AP57" s="382">
        <v>28512000</v>
      </c>
      <c r="AQ57" s="382">
        <v>16782960</v>
      </c>
      <c r="AR57" s="381">
        <f t="shared" si="14"/>
        <v>11729040</v>
      </c>
      <c r="AS57" s="54">
        <f t="shared" si="19"/>
        <v>58.862794612794609</v>
      </c>
      <c r="AT57" s="65">
        <v>21120607</v>
      </c>
      <c r="AU57" s="69">
        <f t="shared" si="33"/>
        <v>7391393</v>
      </c>
      <c r="AV57" s="54">
        <f>AU57/AP57*100</f>
        <v>25.923796997755332</v>
      </c>
      <c r="AW57" s="382">
        <v>31000000</v>
      </c>
      <c r="AX57" s="381">
        <v>31000000</v>
      </c>
      <c r="AY57" s="69">
        <f t="shared" si="9"/>
        <v>31000000</v>
      </c>
      <c r="AZ57" s="69">
        <f t="shared" si="27"/>
        <v>31000000</v>
      </c>
      <c r="BA57" s="258">
        <f t="shared" si="28"/>
        <v>31000000</v>
      </c>
      <c r="BB57" s="501">
        <v>31000000</v>
      </c>
      <c r="BC57" s="501">
        <v>29319275</v>
      </c>
      <c r="BD57" s="501">
        <v>16916379</v>
      </c>
      <c r="BE57" s="501">
        <v>20066323</v>
      </c>
      <c r="BF57" s="221">
        <v>23467491</v>
      </c>
      <c r="BG57" s="515">
        <f t="shared" si="15"/>
        <v>28160989.200000003</v>
      </c>
      <c r="BH57" s="65">
        <f>31000000+1000000</f>
        <v>32000000</v>
      </c>
      <c r="BI57" s="65">
        <v>28900000</v>
      </c>
      <c r="BJ57" s="55">
        <v>18762987</v>
      </c>
      <c r="BK57" s="65">
        <v>30174642</v>
      </c>
      <c r="BL57" s="69">
        <f t="shared" si="10"/>
        <v>36209570.400000006</v>
      </c>
      <c r="BM57" s="55">
        <v>39000000</v>
      </c>
      <c r="BN57" s="55">
        <v>39000000</v>
      </c>
      <c r="BO57" s="55">
        <v>37936016</v>
      </c>
      <c r="BP57" s="55">
        <f t="shared" ref="BP57:BP101" si="34">BO57/10*12</f>
        <v>45523219.200000003</v>
      </c>
      <c r="BQ57" s="69">
        <f t="shared" ref="BQ57:BQ101" si="35">BP57*1.1</f>
        <v>50075541.120000005</v>
      </c>
      <c r="BR57" s="55">
        <v>50000000</v>
      </c>
      <c r="BS57" s="55">
        <v>50000000</v>
      </c>
      <c r="BT57" s="55">
        <v>50000000</v>
      </c>
      <c r="BU57" s="353">
        <v>47300000</v>
      </c>
      <c r="BV57" s="347">
        <v>49000000</v>
      </c>
    </row>
    <row r="58" spans="1:94" x14ac:dyDescent="0.25">
      <c r="A58" s="54" t="s">
        <v>243</v>
      </c>
      <c r="B58" s="446" t="s">
        <v>244</v>
      </c>
      <c r="C58" s="55"/>
      <c r="D58" s="55"/>
      <c r="E58" s="55"/>
      <c r="F58" s="55"/>
      <c r="G58" s="55"/>
      <c r="H58" s="55"/>
      <c r="I58" s="55">
        <f t="shared" si="2"/>
        <v>0</v>
      </c>
      <c r="J58" s="55"/>
      <c r="K58" s="55"/>
      <c r="L58" s="55"/>
      <c r="M58" s="55">
        <f t="shared" si="3"/>
        <v>0</v>
      </c>
      <c r="N58" s="54"/>
      <c r="O58" s="55"/>
      <c r="P58" s="55"/>
      <c r="Q58" s="55"/>
      <c r="R58" s="55"/>
      <c r="S58" s="55"/>
      <c r="T58" s="55"/>
      <c r="U58" s="55"/>
      <c r="V58" s="55">
        <f t="shared" si="4"/>
        <v>0</v>
      </c>
      <c r="W58" s="55">
        <f t="shared" si="5"/>
        <v>0</v>
      </c>
      <c r="X58" s="122"/>
      <c r="Z58" s="140" t="e">
        <f t="shared" si="24"/>
        <v>#DIV/0!</v>
      </c>
      <c r="AA58" s="69">
        <f t="shared" si="6"/>
        <v>0</v>
      </c>
      <c r="AB58" s="55"/>
      <c r="AC58" s="55"/>
      <c r="AD58" s="55"/>
      <c r="AE58" s="122"/>
      <c r="AF58" s="55"/>
      <c r="AG58" s="222"/>
      <c r="AH58" s="55">
        <f t="shared" si="7"/>
        <v>0</v>
      </c>
      <c r="AI58" s="63">
        <f t="shared" ref="AI58:AI101" si="36">AH58*1.02</f>
        <v>0</v>
      </c>
      <c r="AJ58" s="52"/>
      <c r="AK58" s="69">
        <f t="shared" si="8"/>
        <v>0</v>
      </c>
      <c r="AM58" s="347"/>
      <c r="AN58" s="353"/>
      <c r="AO58" s="353"/>
      <c r="AP58" s="382"/>
      <c r="AR58" s="381">
        <f t="shared" si="14"/>
        <v>0</v>
      </c>
      <c r="AT58" s="65"/>
      <c r="AU58" s="69"/>
      <c r="AW58" s="382"/>
      <c r="AX58" s="381"/>
      <c r="AY58" s="69">
        <f t="shared" si="9"/>
        <v>0</v>
      </c>
      <c r="AZ58" s="69">
        <f t="shared" si="27"/>
        <v>0</v>
      </c>
      <c r="BA58" s="258">
        <f t="shared" si="28"/>
        <v>0</v>
      </c>
      <c r="BB58" s="501"/>
      <c r="BE58" s="501"/>
      <c r="BF58" s="221"/>
      <c r="BG58" s="515">
        <f t="shared" si="15"/>
        <v>0</v>
      </c>
      <c r="BI58" s="65"/>
      <c r="BJ58" s="55"/>
      <c r="BK58" s="65"/>
      <c r="BL58" s="69">
        <f t="shared" si="10"/>
        <v>0</v>
      </c>
      <c r="BM58" s="55"/>
      <c r="BN58" s="55"/>
      <c r="BO58" s="55"/>
      <c r="BP58" s="55">
        <f t="shared" si="34"/>
        <v>0</v>
      </c>
      <c r="BQ58" s="69">
        <f t="shared" si="35"/>
        <v>0</v>
      </c>
      <c r="BR58" s="55"/>
      <c r="BS58" s="55"/>
      <c r="BT58" s="55"/>
      <c r="BU58" s="353"/>
      <c r="BV58" s="347"/>
    </row>
    <row r="59" spans="1:94" x14ac:dyDescent="0.25">
      <c r="A59" s="54" t="s">
        <v>44</v>
      </c>
      <c r="B59" s="446" t="s">
        <v>153</v>
      </c>
      <c r="C59" s="55">
        <v>120000</v>
      </c>
      <c r="D59" s="55">
        <v>100419</v>
      </c>
      <c r="E59" s="55">
        <v>120000</v>
      </c>
      <c r="F59" s="55">
        <v>71339</v>
      </c>
      <c r="G59" s="55">
        <v>120000</v>
      </c>
      <c r="H59" s="55">
        <v>71339</v>
      </c>
      <c r="I59" s="55">
        <f t="shared" si="2"/>
        <v>77824.363636363632</v>
      </c>
      <c r="J59" s="55">
        <v>100000</v>
      </c>
      <c r="K59" s="55">
        <v>100000</v>
      </c>
      <c r="L59" s="55">
        <v>100000</v>
      </c>
      <c r="M59" s="55">
        <f t="shared" si="3"/>
        <v>128.49446539293606</v>
      </c>
      <c r="N59" s="54"/>
      <c r="O59" s="55">
        <v>100000</v>
      </c>
      <c r="P59" s="55">
        <v>82411</v>
      </c>
      <c r="Q59" s="55">
        <v>93241</v>
      </c>
      <c r="R59" s="55">
        <v>100000</v>
      </c>
      <c r="S59" s="55">
        <v>150000</v>
      </c>
      <c r="T59" s="55">
        <v>116902</v>
      </c>
      <c r="U59" s="55">
        <f>100000+50000</f>
        <v>150000</v>
      </c>
      <c r="V59" s="55">
        <f t="shared" si="4"/>
        <v>150000</v>
      </c>
      <c r="W59" s="55">
        <f t="shared" si="5"/>
        <v>150000</v>
      </c>
      <c r="X59" s="122">
        <f t="shared" ref="X59:X106" si="37">T59/V59*100</f>
        <v>77.934666666666658</v>
      </c>
      <c r="Z59" s="140">
        <f t="shared" si="24"/>
        <v>1.2831260371935467</v>
      </c>
      <c r="AA59" s="69">
        <f t="shared" si="6"/>
        <v>150000</v>
      </c>
      <c r="AB59" s="55">
        <v>99048</v>
      </c>
      <c r="AC59" s="55">
        <v>135733</v>
      </c>
      <c r="AD59" s="55">
        <v>154780</v>
      </c>
      <c r="AE59" s="122">
        <f t="shared" si="23"/>
        <v>103.18666666666667</v>
      </c>
      <c r="AF59" s="55">
        <v>200000</v>
      </c>
      <c r="AG59" s="222">
        <v>176067</v>
      </c>
      <c r="AH59" s="55">
        <f t="shared" si="7"/>
        <v>211280.40000000002</v>
      </c>
      <c r="AI59" s="63">
        <v>300000</v>
      </c>
      <c r="AJ59" s="52"/>
      <c r="AK59" s="69">
        <f t="shared" si="8"/>
        <v>300000</v>
      </c>
      <c r="AM59" s="347">
        <v>190567</v>
      </c>
      <c r="AN59" s="353"/>
      <c r="AO59" s="353"/>
      <c r="AP59" s="382">
        <v>147396</v>
      </c>
      <c r="AQ59" s="382">
        <v>114848</v>
      </c>
      <c r="AR59" s="382">
        <v>114848</v>
      </c>
      <c r="AS59" s="382">
        <v>114848</v>
      </c>
      <c r="AT59" s="382">
        <v>114848</v>
      </c>
      <c r="AU59" s="69">
        <f>AP59-AT59</f>
        <v>32548</v>
      </c>
      <c r="AV59" s="54">
        <f>AU59/AP59*100</f>
        <v>22.082010366631387</v>
      </c>
      <c r="AW59" s="382">
        <v>300000</v>
      </c>
      <c r="AX59" s="381">
        <v>300000</v>
      </c>
      <c r="AY59" s="69">
        <f t="shared" si="9"/>
        <v>300000</v>
      </c>
      <c r="AZ59" s="69">
        <f t="shared" si="27"/>
        <v>300000</v>
      </c>
      <c r="BA59" s="258">
        <f t="shared" si="28"/>
        <v>300000</v>
      </c>
      <c r="BB59" s="501">
        <v>300000</v>
      </c>
      <c r="BE59" s="501">
        <v>0</v>
      </c>
      <c r="BF59" s="221"/>
      <c r="BG59" s="515">
        <f t="shared" si="15"/>
        <v>0</v>
      </c>
      <c r="BI59" s="65">
        <v>6490</v>
      </c>
      <c r="BJ59" s="55">
        <v>6490</v>
      </c>
      <c r="BK59" s="65">
        <v>6490</v>
      </c>
      <c r="BL59" s="69">
        <f t="shared" si="10"/>
        <v>7788</v>
      </c>
      <c r="BM59" s="55"/>
      <c r="BN59" s="55">
        <v>0</v>
      </c>
      <c r="BO59" s="55">
        <v>7600</v>
      </c>
      <c r="BP59" s="55">
        <f t="shared" si="34"/>
        <v>9120</v>
      </c>
      <c r="BQ59" s="69">
        <f t="shared" si="35"/>
        <v>10032</v>
      </c>
      <c r="BR59" s="55">
        <v>10000</v>
      </c>
      <c r="BS59" s="55">
        <v>10000</v>
      </c>
      <c r="BT59" s="55">
        <v>10000</v>
      </c>
      <c r="BU59" s="353">
        <v>1300000</v>
      </c>
      <c r="BV59" s="347">
        <v>900000</v>
      </c>
    </row>
    <row r="60" spans="1:94" x14ac:dyDescent="0.25">
      <c r="A60" s="54" t="s">
        <v>45</v>
      </c>
      <c r="B60" s="446" t="s">
        <v>154</v>
      </c>
      <c r="C60" s="55">
        <v>210000</v>
      </c>
      <c r="D60" s="55">
        <v>168129</v>
      </c>
      <c r="E60" s="55">
        <v>310000</v>
      </c>
      <c r="F60" s="55">
        <v>143897</v>
      </c>
      <c r="G60" s="55">
        <v>310000</v>
      </c>
      <c r="H60" s="55">
        <v>161514</v>
      </c>
      <c r="I60" s="55">
        <f t="shared" si="2"/>
        <v>176197.09090909091</v>
      </c>
      <c r="J60" s="55">
        <v>310000</v>
      </c>
      <c r="K60" s="55">
        <v>310000</v>
      </c>
      <c r="L60" s="55">
        <v>310000</v>
      </c>
      <c r="M60" s="55">
        <f t="shared" si="3"/>
        <v>175.93934065571199</v>
      </c>
      <c r="N60" s="54"/>
      <c r="O60" s="55">
        <v>310000</v>
      </c>
      <c r="P60" s="55">
        <v>179782</v>
      </c>
      <c r="Q60" s="55">
        <v>206495</v>
      </c>
      <c r="R60" s="55">
        <v>310000</v>
      </c>
      <c r="S60" s="55">
        <v>360000</v>
      </c>
      <c r="T60" s="55">
        <v>224803</v>
      </c>
      <c r="U60" s="55">
        <f>180000+130000+60000</f>
        <v>370000</v>
      </c>
      <c r="V60" s="55">
        <f t="shared" si="4"/>
        <v>370000</v>
      </c>
      <c r="W60" s="55">
        <f t="shared" si="5"/>
        <v>370000</v>
      </c>
      <c r="X60" s="122">
        <f t="shared" si="37"/>
        <v>60.75756756756757</v>
      </c>
      <c r="Z60" s="140">
        <f t="shared" si="24"/>
        <v>1.6458855086453472</v>
      </c>
      <c r="AA60" s="69">
        <f t="shared" si="6"/>
        <v>370000</v>
      </c>
      <c r="AB60" s="55">
        <v>125778</v>
      </c>
      <c r="AC60" s="55">
        <v>155419</v>
      </c>
      <c r="AD60" s="55">
        <v>173424</v>
      </c>
      <c r="AE60" s="122">
        <f t="shared" si="23"/>
        <v>46.87135135135135</v>
      </c>
      <c r="AF60" s="55">
        <v>320000</v>
      </c>
      <c r="AG60" s="222">
        <v>186563</v>
      </c>
      <c r="AH60" s="55">
        <f t="shared" si="7"/>
        <v>223875.59999999998</v>
      </c>
      <c r="AI60" s="63">
        <v>300000</v>
      </c>
      <c r="AJ60" s="52"/>
      <c r="AK60" s="69">
        <f t="shared" si="8"/>
        <v>300000</v>
      </c>
      <c r="AM60" s="347">
        <v>206824</v>
      </c>
      <c r="AN60" s="353"/>
      <c r="AO60" s="353"/>
      <c r="AP60" s="382">
        <v>364377</v>
      </c>
      <c r="AQ60" s="382">
        <v>304096</v>
      </c>
      <c r="AR60" s="381">
        <f t="shared" si="14"/>
        <v>60281</v>
      </c>
      <c r="AS60" s="54">
        <f t="shared" si="19"/>
        <v>83.456420136287406</v>
      </c>
      <c r="AT60" s="65">
        <v>381895</v>
      </c>
      <c r="AU60" s="69">
        <f>AP60-AT60</f>
        <v>-17518</v>
      </c>
      <c r="AV60" s="54">
        <f>AU60/AP60*100</f>
        <v>-4.8076580025632794</v>
      </c>
      <c r="AW60" s="382">
        <v>300000</v>
      </c>
      <c r="AX60" s="381">
        <v>300000</v>
      </c>
      <c r="AY60" s="69">
        <f t="shared" si="9"/>
        <v>300000</v>
      </c>
      <c r="AZ60" s="69">
        <f t="shared" si="27"/>
        <v>300000</v>
      </c>
      <c r="BA60" s="258">
        <f t="shared" si="28"/>
        <v>300000</v>
      </c>
      <c r="BB60" s="501">
        <v>300000</v>
      </c>
      <c r="BC60" s="501">
        <v>420000</v>
      </c>
      <c r="BD60" s="501">
        <v>242306</v>
      </c>
      <c r="BE60" s="501">
        <v>299322</v>
      </c>
      <c r="BF60" s="221">
        <v>326767</v>
      </c>
      <c r="BG60" s="515">
        <f t="shared" si="15"/>
        <v>392120.4</v>
      </c>
      <c r="BH60" s="65">
        <v>350000</v>
      </c>
      <c r="BI60" s="65">
        <v>350000</v>
      </c>
      <c r="BJ60" s="55">
        <v>165815</v>
      </c>
      <c r="BK60" s="65">
        <v>277753</v>
      </c>
      <c r="BL60" s="69">
        <f t="shared" si="10"/>
        <v>333303.59999999998</v>
      </c>
      <c r="BM60" s="55">
        <v>300000</v>
      </c>
      <c r="BN60" s="55">
        <v>300000</v>
      </c>
      <c r="BO60" s="55">
        <v>467294</v>
      </c>
      <c r="BP60" s="55">
        <f t="shared" si="34"/>
        <v>560752.80000000005</v>
      </c>
      <c r="BQ60" s="69">
        <f t="shared" si="35"/>
        <v>616828.08000000007</v>
      </c>
      <c r="BR60" s="55">
        <v>600000</v>
      </c>
      <c r="BS60" s="55">
        <v>600000</v>
      </c>
      <c r="BT60" s="55">
        <v>600000</v>
      </c>
      <c r="BU60" s="353">
        <v>300000</v>
      </c>
      <c r="BV60" s="347">
        <v>400000</v>
      </c>
    </row>
    <row r="61" spans="1:94" s="39" customFormat="1" x14ac:dyDescent="0.25">
      <c r="A61" s="54" t="s">
        <v>700</v>
      </c>
      <c r="B61" s="448" t="s">
        <v>703</v>
      </c>
      <c r="C61" s="65">
        <v>1079776</v>
      </c>
      <c r="D61" s="65">
        <v>717879</v>
      </c>
      <c r="E61" s="65">
        <v>832856</v>
      </c>
      <c r="F61" s="65">
        <v>722223</v>
      </c>
      <c r="G61" s="65">
        <v>1710219</v>
      </c>
      <c r="H61" s="65">
        <v>755934</v>
      </c>
      <c r="I61" s="65">
        <f t="shared" si="2"/>
        <v>824655.27272727271</v>
      </c>
      <c r="J61" s="65">
        <v>1000000</v>
      </c>
      <c r="K61" s="65">
        <v>1000000</v>
      </c>
      <c r="L61" s="65">
        <v>1000000</v>
      </c>
      <c r="M61" s="65">
        <f t="shared" si="3"/>
        <v>121.26279101967457</v>
      </c>
      <c r="N61" s="54"/>
      <c r="O61" s="65">
        <v>4100764</v>
      </c>
      <c r="P61" s="65">
        <v>1139699</v>
      </c>
      <c r="Q61" s="65">
        <v>1216873</v>
      </c>
      <c r="R61" s="65">
        <f t="shared" ref="R61" si="38">L61</f>
        <v>1000000</v>
      </c>
      <c r="S61" s="65">
        <v>2890764</v>
      </c>
      <c r="T61" s="65">
        <v>1093319</v>
      </c>
      <c r="U61" s="65">
        <v>1000000</v>
      </c>
      <c r="V61" s="69">
        <f t="shared" si="4"/>
        <v>1000000</v>
      </c>
      <c r="W61" s="69">
        <f t="shared" si="5"/>
        <v>1000000</v>
      </c>
      <c r="X61" s="121">
        <f t="shared" si="37"/>
        <v>109.33189999999999</v>
      </c>
      <c r="Y61" s="54"/>
      <c r="Z61" s="210">
        <f t="shared" si="24"/>
        <v>0.9146461371292367</v>
      </c>
      <c r="AA61" s="69">
        <f t="shared" si="6"/>
        <v>1000000</v>
      </c>
      <c r="AB61" s="65">
        <v>594447</v>
      </c>
      <c r="AC61" s="65">
        <v>688346</v>
      </c>
      <c r="AD61" s="65">
        <v>732791</v>
      </c>
      <c r="AE61" s="123">
        <f t="shared" si="23"/>
        <v>73.2791</v>
      </c>
      <c r="AF61" s="65">
        <v>1100000</v>
      </c>
      <c r="AG61" s="65">
        <v>776261</v>
      </c>
      <c r="AH61" s="215">
        <f t="shared" si="7"/>
        <v>931513.20000000007</v>
      </c>
      <c r="AI61" s="216">
        <f t="shared" ref="AI61" si="39">AH61*1.02</f>
        <v>950143.46400000004</v>
      </c>
      <c r="AJ61" s="65"/>
      <c r="AK61" s="69">
        <f t="shared" si="8"/>
        <v>950143.46400000004</v>
      </c>
      <c r="AL61" s="54"/>
      <c r="AM61" s="347">
        <v>811908</v>
      </c>
      <c r="AN61" s="349">
        <v>1510143</v>
      </c>
      <c r="AO61" s="354">
        <v>1080727</v>
      </c>
      <c r="AP61" s="65">
        <v>1510143</v>
      </c>
      <c r="AQ61" s="65">
        <v>1238077</v>
      </c>
      <c r="AR61" s="69">
        <f t="shared" si="14"/>
        <v>272066</v>
      </c>
      <c r="AS61" s="54">
        <f t="shared" si="19"/>
        <v>81.984090248406943</v>
      </c>
      <c r="AT61" s="65">
        <v>1290241</v>
      </c>
      <c r="AU61" s="69">
        <f>AP61-AT61</f>
        <v>219902</v>
      </c>
      <c r="AV61" s="54">
        <f>AU61/AP61*100</f>
        <v>14.561667338788444</v>
      </c>
      <c r="AW61" s="69">
        <v>950143</v>
      </c>
      <c r="AX61" s="69">
        <v>950143</v>
      </c>
      <c r="AY61" s="69">
        <f t="shared" si="9"/>
        <v>950143</v>
      </c>
      <c r="AZ61" s="55">
        <f t="shared" si="27"/>
        <v>950143</v>
      </c>
      <c r="BA61" s="69">
        <f t="shared" si="28"/>
        <v>950143</v>
      </c>
      <c r="BB61" s="501">
        <v>950143</v>
      </c>
      <c r="BC61" s="501">
        <v>950143</v>
      </c>
      <c r="BD61" s="501">
        <v>697742</v>
      </c>
      <c r="BE61" s="501">
        <v>774391</v>
      </c>
      <c r="BF61" s="221">
        <v>812622</v>
      </c>
      <c r="BG61" s="365">
        <f t="shared" si="15"/>
        <v>975146.39999999991</v>
      </c>
      <c r="BH61" s="223">
        <f t="shared" ref="BH61" si="40">BB61*1.08</f>
        <v>1026154.4400000001</v>
      </c>
      <c r="BI61" s="55">
        <v>1443701</v>
      </c>
      <c r="BJ61" s="55">
        <v>978961</v>
      </c>
      <c r="BK61" s="65">
        <v>1924340</v>
      </c>
      <c r="BL61" s="69">
        <f t="shared" si="10"/>
        <v>2309208</v>
      </c>
      <c r="BM61" s="69">
        <v>6200000</v>
      </c>
      <c r="BN61" s="69">
        <v>5400000</v>
      </c>
      <c r="BO61" s="576">
        <v>4305097</v>
      </c>
      <c r="BP61" s="55">
        <f t="shared" si="34"/>
        <v>5166116.4000000004</v>
      </c>
      <c r="BQ61" s="69">
        <f t="shared" si="35"/>
        <v>5682728.040000001</v>
      </c>
      <c r="BR61" s="55">
        <v>6000000</v>
      </c>
      <c r="BS61" s="55">
        <v>6000000</v>
      </c>
      <c r="BT61" s="66">
        <f>6000000*0.75</f>
        <v>4500000</v>
      </c>
      <c r="BU61" s="353">
        <v>7000000</v>
      </c>
      <c r="BV61" s="347">
        <v>4000000</v>
      </c>
      <c r="BW61"/>
      <c r="BX61"/>
      <c r="BY61"/>
      <c r="BZ61"/>
      <c r="CA61"/>
      <c r="CB61"/>
      <c r="CC61"/>
      <c r="CD61"/>
      <c r="CE61"/>
      <c r="CF61"/>
      <c r="CG61"/>
      <c r="CH61"/>
    </row>
    <row r="62" spans="1:94" s="39" customFormat="1" x14ac:dyDescent="0.25">
      <c r="A62" s="54" t="s">
        <v>701</v>
      </c>
      <c r="B62" s="448" t="s">
        <v>704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54"/>
      <c r="O62" s="65"/>
      <c r="P62" s="65"/>
      <c r="Q62" s="65"/>
      <c r="R62" s="65"/>
      <c r="S62" s="65"/>
      <c r="T62" s="65"/>
      <c r="U62" s="65"/>
      <c r="V62" s="69"/>
      <c r="W62" s="69"/>
      <c r="X62" s="121"/>
      <c r="Y62" s="54"/>
      <c r="Z62" s="210"/>
      <c r="AA62" s="69"/>
      <c r="AB62" s="65"/>
      <c r="AC62" s="65"/>
      <c r="AD62" s="65"/>
      <c r="AE62" s="123"/>
      <c r="AF62" s="65"/>
      <c r="AG62" s="65"/>
      <c r="AH62" s="215"/>
      <c r="AI62" s="216"/>
      <c r="AJ62" s="65"/>
      <c r="AK62" s="69"/>
      <c r="AL62" s="54"/>
      <c r="AM62" s="347"/>
      <c r="AN62" s="349"/>
      <c r="AO62" s="354"/>
      <c r="AP62" s="65"/>
      <c r="AQ62" s="65"/>
      <c r="AR62" s="69"/>
      <c r="AS62" s="54"/>
      <c r="AT62" s="65"/>
      <c r="AU62" s="69"/>
      <c r="AV62" s="54"/>
      <c r="AW62" s="69"/>
      <c r="AX62" s="69"/>
      <c r="AY62" s="69"/>
      <c r="AZ62" s="55"/>
      <c r="BA62" s="69"/>
      <c r="BB62" s="501"/>
      <c r="BC62" s="501"/>
      <c r="BD62" s="501"/>
      <c r="BE62" s="501"/>
      <c r="BF62" s="221"/>
      <c r="BG62" s="365"/>
      <c r="BH62" s="223"/>
      <c r="BI62" s="55"/>
      <c r="BJ62" s="55"/>
      <c r="BK62" s="65"/>
      <c r="BL62" s="69"/>
      <c r="BM62" s="69"/>
      <c r="BN62" s="69">
        <v>2070000</v>
      </c>
      <c r="BO62" s="576">
        <v>775276</v>
      </c>
      <c r="BP62" s="55">
        <f t="shared" si="34"/>
        <v>930331.20000000007</v>
      </c>
      <c r="BQ62" s="69">
        <f t="shared" si="35"/>
        <v>1023364.3200000002</v>
      </c>
      <c r="BR62" s="55">
        <v>1500000</v>
      </c>
      <c r="BS62" s="55">
        <v>1500000</v>
      </c>
      <c r="BT62" s="66">
        <f>1500000*0.9</f>
        <v>1350000</v>
      </c>
      <c r="BU62" s="353">
        <v>2000000</v>
      </c>
      <c r="BV62" s="347">
        <v>1500000</v>
      </c>
      <c r="BW62"/>
      <c r="BX62"/>
      <c r="BY62"/>
      <c r="BZ62"/>
      <c r="CA62"/>
      <c r="CB62"/>
      <c r="CC62"/>
      <c r="CD62"/>
      <c r="CE62"/>
      <c r="CF62"/>
      <c r="CG62"/>
      <c r="CH62"/>
    </row>
    <row r="63" spans="1:94" s="39" customFormat="1" x14ac:dyDescent="0.25">
      <c r="A63" s="54" t="s">
        <v>702</v>
      </c>
      <c r="B63" s="448" t="s">
        <v>705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54"/>
      <c r="O63" s="65"/>
      <c r="P63" s="65"/>
      <c r="Q63" s="65"/>
      <c r="R63" s="65"/>
      <c r="S63" s="65"/>
      <c r="T63" s="65"/>
      <c r="U63" s="65"/>
      <c r="V63" s="69"/>
      <c r="W63" s="69"/>
      <c r="X63" s="121"/>
      <c r="Y63" s="54"/>
      <c r="Z63" s="210"/>
      <c r="AA63" s="69"/>
      <c r="AB63" s="65"/>
      <c r="AC63" s="65"/>
      <c r="AD63" s="65"/>
      <c r="AE63" s="123"/>
      <c r="AF63" s="65"/>
      <c r="AG63" s="65"/>
      <c r="AH63" s="215"/>
      <c r="AI63" s="216"/>
      <c r="AJ63" s="65"/>
      <c r="AK63" s="69"/>
      <c r="AL63" s="54"/>
      <c r="AM63" s="347"/>
      <c r="AN63" s="349"/>
      <c r="AO63" s="354"/>
      <c r="AP63" s="65"/>
      <c r="AQ63" s="65"/>
      <c r="AR63" s="69"/>
      <c r="AS63" s="54"/>
      <c r="AT63" s="65"/>
      <c r="AU63" s="69"/>
      <c r="AV63" s="54"/>
      <c r="AW63" s="69"/>
      <c r="AX63" s="69"/>
      <c r="AY63" s="69"/>
      <c r="AZ63" s="55"/>
      <c r="BA63" s="69"/>
      <c r="BB63" s="501"/>
      <c r="BC63" s="501"/>
      <c r="BD63" s="501"/>
      <c r="BE63" s="501"/>
      <c r="BF63" s="221"/>
      <c r="BG63" s="365"/>
      <c r="BH63" s="223"/>
      <c r="BI63" s="55"/>
      <c r="BJ63" s="55"/>
      <c r="BK63" s="65"/>
      <c r="BL63" s="69"/>
      <c r="BM63" s="69"/>
      <c r="BN63" s="69">
        <v>1530000</v>
      </c>
      <c r="BO63" s="576">
        <v>0</v>
      </c>
      <c r="BP63" s="55">
        <f t="shared" si="34"/>
        <v>0</v>
      </c>
      <c r="BQ63" s="69">
        <f t="shared" si="35"/>
        <v>0</v>
      </c>
      <c r="BR63" s="55"/>
      <c r="BS63" s="55"/>
      <c r="BT63" s="66">
        <v>200000</v>
      </c>
      <c r="BU63" s="353">
        <v>1000000</v>
      </c>
      <c r="BV63" s="347"/>
      <c r="BW63"/>
      <c r="BX63"/>
      <c r="BY63"/>
      <c r="BZ63"/>
      <c r="CA63"/>
      <c r="CB63"/>
      <c r="CC63"/>
      <c r="CD63"/>
      <c r="CE63"/>
      <c r="CF63"/>
      <c r="CG63"/>
      <c r="CH63"/>
    </row>
    <row r="64" spans="1:94" s="39" customFormat="1" x14ac:dyDescent="0.25">
      <c r="A64" s="54" t="s">
        <v>231</v>
      </c>
      <c r="B64" s="55" t="s">
        <v>232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54"/>
      <c r="O64" s="65"/>
      <c r="P64" s="65"/>
      <c r="Q64" s="65"/>
      <c r="R64" s="65"/>
      <c r="S64" s="65"/>
      <c r="T64" s="65"/>
      <c r="U64" s="65"/>
      <c r="V64" s="69"/>
      <c r="W64" s="69"/>
      <c r="X64" s="121"/>
      <c r="Y64"/>
      <c r="Z64" s="647"/>
      <c r="AA64" s="69"/>
      <c r="AB64" s="65"/>
      <c r="AC64" s="65"/>
      <c r="AD64" s="65"/>
      <c r="AE64" s="123"/>
      <c r="AF64" s="65"/>
      <c r="AG64" s="222"/>
      <c r="AH64" s="215"/>
      <c r="AI64" s="216"/>
      <c r="AJ64" s="211"/>
      <c r="AK64" s="69"/>
      <c r="AL64"/>
      <c r="AM64" s="347"/>
      <c r="AN64" s="354"/>
      <c r="AO64" s="354"/>
      <c r="AP64" s="222"/>
      <c r="AQ64" s="222"/>
      <c r="AR64" s="258"/>
      <c r="AS64" s="259"/>
      <c r="AT64" s="222"/>
      <c r="AU64" s="69"/>
      <c r="AV64" s="54"/>
      <c r="AW64" s="258"/>
      <c r="AX64" s="69"/>
      <c r="AY64" s="69"/>
      <c r="AZ64" s="55"/>
      <c r="BA64" s="258"/>
      <c r="BB64" s="501"/>
      <c r="BC64" s="501"/>
      <c r="BD64" s="501"/>
      <c r="BE64" s="501"/>
      <c r="BF64" s="221"/>
      <c r="BG64" s="517"/>
      <c r="BH64" s="223"/>
      <c r="BI64" s="55"/>
      <c r="BJ64" s="55"/>
      <c r="BK64" s="65"/>
      <c r="BL64" s="69"/>
      <c r="BM64" s="69"/>
      <c r="BN64" s="69"/>
      <c r="BO64" s="576"/>
      <c r="BP64" s="55">
        <f t="shared" si="34"/>
        <v>0</v>
      </c>
      <c r="BQ64" s="69">
        <f t="shared" si="35"/>
        <v>0</v>
      </c>
      <c r="BR64" s="55"/>
      <c r="BS64" s="55"/>
      <c r="BT64" s="55"/>
      <c r="BU64" s="353"/>
      <c r="BV64" s="347"/>
      <c r="BW64"/>
      <c r="BX64"/>
      <c r="BY64"/>
      <c r="BZ64"/>
      <c r="CA64"/>
      <c r="CB64"/>
      <c r="CC64"/>
      <c r="CD64"/>
      <c r="CE64"/>
      <c r="CF64"/>
      <c r="CG64"/>
      <c r="CH64"/>
    </row>
    <row r="65" spans="1:86" s="39" customFormat="1" x14ac:dyDescent="0.25">
      <c r="A65" s="54" t="s">
        <v>46</v>
      </c>
      <c r="B65" s="55" t="s">
        <v>155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54"/>
      <c r="O65" s="65"/>
      <c r="P65" s="65"/>
      <c r="Q65" s="65"/>
      <c r="R65" s="65"/>
      <c r="S65" s="65"/>
      <c r="T65" s="65"/>
      <c r="U65" s="65"/>
      <c r="V65" s="69"/>
      <c r="W65" s="69"/>
      <c r="X65" s="121"/>
      <c r="Y65"/>
      <c r="Z65" s="647"/>
      <c r="AA65" s="69"/>
      <c r="AB65" s="65"/>
      <c r="AC65" s="65"/>
      <c r="AD65" s="65"/>
      <c r="AE65" s="123"/>
      <c r="AF65" s="65"/>
      <c r="AG65" s="222"/>
      <c r="AH65" s="215"/>
      <c r="AI65" s="216"/>
      <c r="AJ65" s="211"/>
      <c r="AK65" s="69"/>
      <c r="AL65"/>
      <c r="AM65" s="347"/>
      <c r="AN65" s="354"/>
      <c r="AO65" s="354"/>
      <c r="AP65" s="222"/>
      <c r="AQ65" s="222"/>
      <c r="AR65" s="258"/>
      <c r="AS65" s="259"/>
      <c r="AT65" s="222"/>
      <c r="AU65" s="69"/>
      <c r="AV65" s="54"/>
      <c r="AW65" s="258"/>
      <c r="AX65" s="69"/>
      <c r="AY65" s="69"/>
      <c r="AZ65" s="55"/>
      <c r="BA65" s="258"/>
      <c r="BB65" s="501"/>
      <c r="BC65" s="501"/>
      <c r="BD65" s="501"/>
      <c r="BE65" s="501"/>
      <c r="BF65" s="221"/>
      <c r="BG65" s="517"/>
      <c r="BH65" s="223"/>
      <c r="BI65" s="55"/>
      <c r="BJ65" s="55"/>
      <c r="BK65" s="65"/>
      <c r="BL65" s="69"/>
      <c r="BM65" s="69"/>
      <c r="BN65" s="69">
        <v>1000000</v>
      </c>
      <c r="BO65" s="576">
        <v>737343</v>
      </c>
      <c r="BP65" s="55">
        <f t="shared" si="34"/>
        <v>884811.60000000009</v>
      </c>
      <c r="BQ65" s="69">
        <f t="shared" si="35"/>
        <v>973292.76000000013</v>
      </c>
      <c r="BR65" s="55">
        <v>1000000</v>
      </c>
      <c r="BS65" s="55">
        <v>1000000</v>
      </c>
      <c r="BT65" s="55">
        <v>1000000</v>
      </c>
      <c r="BU65" s="353">
        <v>700000</v>
      </c>
      <c r="BV65" s="347">
        <v>650000</v>
      </c>
      <c r="BW65"/>
      <c r="BX65"/>
      <c r="BY65"/>
      <c r="BZ65"/>
      <c r="CA65"/>
      <c r="CB65"/>
      <c r="CC65"/>
      <c r="CD65"/>
      <c r="CE65"/>
      <c r="CF65"/>
      <c r="CG65"/>
      <c r="CH65"/>
    </row>
    <row r="66" spans="1:86" x14ac:dyDescent="0.25">
      <c r="A66" s="54" t="s">
        <v>47</v>
      </c>
      <c r="B66" s="446" t="s">
        <v>156</v>
      </c>
      <c r="C66" s="55">
        <v>950000</v>
      </c>
      <c r="D66" s="55">
        <v>533957</v>
      </c>
      <c r="E66" s="55">
        <v>770000</v>
      </c>
      <c r="F66" s="55">
        <v>499950</v>
      </c>
      <c r="G66" s="55">
        <v>575826</v>
      </c>
      <c r="H66" s="55">
        <v>574556</v>
      </c>
      <c r="I66" s="55">
        <f t="shared" si="2"/>
        <v>626788.36363636365</v>
      </c>
      <c r="J66" s="55">
        <v>770000</v>
      </c>
      <c r="K66" s="55">
        <v>770000</v>
      </c>
      <c r="L66" s="55">
        <v>770000</v>
      </c>
      <c r="M66" s="55">
        <f t="shared" si="3"/>
        <v>122.8484835826853</v>
      </c>
      <c r="N66" s="54"/>
      <c r="O66" s="55">
        <v>770000</v>
      </c>
      <c r="P66" s="55">
        <v>95040</v>
      </c>
      <c r="Q66" s="55">
        <v>95040</v>
      </c>
      <c r="R66" s="55">
        <v>770000</v>
      </c>
      <c r="S66" s="55">
        <v>120000</v>
      </c>
      <c r="T66" s="55">
        <v>95040</v>
      </c>
      <c r="U66" s="55">
        <f>470000+300000+100000+150000</f>
        <v>1020000</v>
      </c>
      <c r="V66" s="55">
        <f t="shared" si="4"/>
        <v>1020000</v>
      </c>
      <c r="W66" s="66">
        <v>870000</v>
      </c>
      <c r="X66" s="122">
        <f t="shared" si="37"/>
        <v>9.3176470588235283</v>
      </c>
      <c r="Z66" s="140">
        <f t="shared" si="24"/>
        <v>9.1540404040404049</v>
      </c>
      <c r="AA66" s="69">
        <f t="shared" si="6"/>
        <v>870000</v>
      </c>
      <c r="AB66" s="55">
        <v>65748</v>
      </c>
      <c r="AC66" s="55">
        <v>65748</v>
      </c>
      <c r="AD66" s="55">
        <v>65748</v>
      </c>
      <c r="AE66" s="122">
        <f t="shared" si="23"/>
        <v>7.5572413793103452</v>
      </c>
      <c r="AF66" s="55">
        <v>870000</v>
      </c>
      <c r="AG66" s="222">
        <v>65748</v>
      </c>
      <c r="AH66" s="55">
        <f t="shared" si="7"/>
        <v>78897.600000000006</v>
      </c>
      <c r="AI66" s="63">
        <v>600000</v>
      </c>
      <c r="AJ66" s="52"/>
      <c r="AK66" s="69">
        <f t="shared" si="8"/>
        <v>600000</v>
      </c>
      <c r="AM66" s="347">
        <v>221748</v>
      </c>
      <c r="AN66" s="353"/>
      <c r="AO66" s="353"/>
      <c r="AP66" s="382">
        <v>124553</v>
      </c>
      <c r="AQ66" s="382">
        <v>105000</v>
      </c>
      <c r="AR66" s="382">
        <v>105000</v>
      </c>
      <c r="AS66" s="382">
        <v>105000</v>
      </c>
      <c r="AT66" s="382">
        <v>105000</v>
      </c>
      <c r="AU66" s="69">
        <f>AP66-AT66</f>
        <v>19553</v>
      </c>
      <c r="AV66" s="54">
        <f>AU66/AP66*100</f>
        <v>15.698537971787111</v>
      </c>
      <c r="AW66" s="382">
        <v>600000</v>
      </c>
      <c r="AX66" s="381">
        <v>600000</v>
      </c>
      <c r="AY66" s="69">
        <f t="shared" si="9"/>
        <v>600000</v>
      </c>
      <c r="AZ66" s="69">
        <f t="shared" si="27"/>
        <v>600000</v>
      </c>
      <c r="BA66" s="258">
        <f t="shared" si="28"/>
        <v>600000</v>
      </c>
      <c r="BB66" s="501">
        <v>600000</v>
      </c>
      <c r="BC66" s="501">
        <v>400000</v>
      </c>
      <c r="BD66" s="501">
        <v>14600</v>
      </c>
      <c r="BE66" s="501">
        <v>14600</v>
      </c>
      <c r="BF66" s="221">
        <v>14600</v>
      </c>
      <c r="BG66" s="515">
        <f t="shared" si="15"/>
        <v>17520</v>
      </c>
      <c r="BH66" s="65">
        <v>500000</v>
      </c>
      <c r="BI66" s="65">
        <v>9970</v>
      </c>
      <c r="BJ66" s="55">
        <v>0</v>
      </c>
      <c r="BK66" s="65"/>
      <c r="BL66" s="69">
        <f t="shared" si="10"/>
        <v>0</v>
      </c>
      <c r="BM66" s="55">
        <v>1500000</v>
      </c>
      <c r="BN66" s="55">
        <v>1500000</v>
      </c>
      <c r="BO66" s="55">
        <v>0</v>
      </c>
      <c r="BP66" s="55">
        <f t="shared" si="34"/>
        <v>0</v>
      </c>
      <c r="BQ66" s="69">
        <f t="shared" si="35"/>
        <v>0</v>
      </c>
      <c r="BR66" s="55"/>
      <c r="BS66" s="55"/>
      <c r="BT66" s="55"/>
      <c r="BU66" s="353">
        <v>2500000</v>
      </c>
      <c r="BV66" s="347">
        <v>1500000</v>
      </c>
    </row>
    <row r="67" spans="1:86" x14ac:dyDescent="0.25">
      <c r="A67" s="54" t="s">
        <v>48</v>
      </c>
      <c r="B67" s="446" t="s">
        <v>157</v>
      </c>
      <c r="C67" s="55">
        <v>0</v>
      </c>
      <c r="D67" s="55">
        <v>2083</v>
      </c>
      <c r="E67" s="55">
        <v>0</v>
      </c>
      <c r="F67" s="55"/>
      <c r="G67" s="55"/>
      <c r="H67" s="55"/>
      <c r="I67" s="55">
        <f t="shared" si="2"/>
        <v>0</v>
      </c>
      <c r="J67" s="55">
        <v>0</v>
      </c>
      <c r="K67" s="55">
        <v>0</v>
      </c>
      <c r="L67" s="55">
        <v>0</v>
      </c>
      <c r="M67" s="55">
        <f t="shared" si="3"/>
        <v>0</v>
      </c>
      <c r="N67" s="54"/>
      <c r="O67" s="55">
        <v>27429</v>
      </c>
      <c r="P67" s="55"/>
      <c r="Q67" s="55"/>
      <c r="R67" s="55">
        <v>0</v>
      </c>
      <c r="S67" s="55">
        <v>27429</v>
      </c>
      <c r="T67" s="55"/>
      <c r="U67" s="55"/>
      <c r="V67" s="55">
        <f t="shared" si="4"/>
        <v>0</v>
      </c>
      <c r="W67" s="55">
        <f t="shared" si="5"/>
        <v>0</v>
      </c>
      <c r="X67" s="122"/>
      <c r="Z67" s="140" t="e">
        <f t="shared" si="24"/>
        <v>#DIV/0!</v>
      </c>
      <c r="AA67" s="69">
        <f t="shared" si="6"/>
        <v>0</v>
      </c>
      <c r="AB67" s="55"/>
      <c r="AC67" s="55"/>
      <c r="AD67" s="55"/>
      <c r="AE67" s="122"/>
      <c r="AF67" s="55"/>
      <c r="AG67" s="222"/>
      <c r="AH67" s="55">
        <f t="shared" si="7"/>
        <v>0</v>
      </c>
      <c r="AI67" s="63">
        <f t="shared" si="36"/>
        <v>0</v>
      </c>
      <c r="AJ67" s="52"/>
      <c r="AK67" s="69">
        <f t="shared" si="8"/>
        <v>0</v>
      </c>
      <c r="AM67" s="347"/>
      <c r="AN67" s="353"/>
      <c r="AO67" s="353"/>
      <c r="AP67" s="382"/>
      <c r="AR67" s="381">
        <f t="shared" si="14"/>
        <v>0</v>
      </c>
      <c r="AT67" s="65"/>
      <c r="AU67" s="69"/>
      <c r="AW67" s="382"/>
      <c r="AX67" s="381"/>
      <c r="AY67" s="69">
        <f t="shared" si="9"/>
        <v>0</v>
      </c>
      <c r="AZ67" s="69">
        <f t="shared" si="27"/>
        <v>0</v>
      </c>
      <c r="BA67" s="258">
        <f t="shared" si="28"/>
        <v>0</v>
      </c>
      <c r="BB67" s="501"/>
      <c r="BE67" s="501"/>
      <c r="BF67" s="221"/>
      <c r="BG67" s="515">
        <f t="shared" si="15"/>
        <v>0</v>
      </c>
      <c r="BI67" s="65"/>
      <c r="BJ67" s="55"/>
      <c r="BK67" s="65"/>
      <c r="BL67" s="69">
        <f t="shared" si="10"/>
        <v>0</v>
      </c>
      <c r="BM67" s="55"/>
      <c r="BN67" s="55"/>
      <c r="BO67" s="55"/>
      <c r="BP67" s="55">
        <f t="shared" si="34"/>
        <v>0</v>
      </c>
      <c r="BQ67" s="69">
        <f t="shared" si="35"/>
        <v>0</v>
      </c>
      <c r="BR67" s="55"/>
      <c r="BS67" s="55"/>
      <c r="BT67" s="55"/>
      <c r="BU67" s="353"/>
      <c r="BV67" s="347"/>
    </row>
    <row r="68" spans="1:86" x14ac:dyDescent="0.25">
      <c r="A68" s="54" t="s">
        <v>233</v>
      </c>
      <c r="B68" s="446" t="s">
        <v>234</v>
      </c>
      <c r="C68" s="55"/>
      <c r="D68" s="55"/>
      <c r="E68" s="55"/>
      <c r="F68" s="55"/>
      <c r="G68" s="55">
        <v>791567</v>
      </c>
      <c r="H68" s="55">
        <v>439567</v>
      </c>
      <c r="I68" s="55">
        <f t="shared" si="2"/>
        <v>479527.63636363635</v>
      </c>
      <c r="J68" s="55"/>
      <c r="K68" s="55"/>
      <c r="L68" s="55"/>
      <c r="M68" s="55">
        <f t="shared" si="3"/>
        <v>0</v>
      </c>
      <c r="N68" s="54"/>
      <c r="O68" s="55"/>
      <c r="P68" s="55"/>
      <c r="Q68" s="55"/>
      <c r="R68" s="55"/>
      <c r="S68" s="55"/>
      <c r="T68" s="55"/>
      <c r="U68" s="55"/>
      <c r="V68" s="55">
        <f t="shared" si="4"/>
        <v>0</v>
      </c>
      <c r="W68" s="55">
        <f t="shared" si="5"/>
        <v>0</v>
      </c>
      <c r="X68" s="122"/>
      <c r="Z68" s="140" t="e">
        <f t="shared" si="24"/>
        <v>#DIV/0!</v>
      </c>
      <c r="AA68" s="69">
        <f t="shared" si="6"/>
        <v>0</v>
      </c>
      <c r="AB68" s="55"/>
      <c r="AC68" s="55"/>
      <c r="AD68" s="55"/>
      <c r="AE68" s="122"/>
      <c r="AF68" s="55"/>
      <c r="AG68" s="222"/>
      <c r="AH68" s="55">
        <f t="shared" si="7"/>
        <v>0</v>
      </c>
      <c r="AI68" s="63">
        <f t="shared" si="36"/>
        <v>0</v>
      </c>
      <c r="AJ68" s="52"/>
      <c r="AK68" s="69">
        <f t="shared" si="8"/>
        <v>0</v>
      </c>
      <c r="AM68" s="347"/>
      <c r="AN68" s="353"/>
      <c r="AO68" s="353"/>
      <c r="AP68" s="382"/>
      <c r="AR68" s="381">
        <f t="shared" si="14"/>
        <v>0</v>
      </c>
      <c r="AT68" s="65"/>
      <c r="AU68" s="69"/>
      <c r="AW68" s="382"/>
      <c r="AX68" s="381"/>
      <c r="AY68" s="69">
        <f t="shared" si="9"/>
        <v>0</v>
      </c>
      <c r="AZ68" s="69">
        <f t="shared" si="27"/>
        <v>0</v>
      </c>
      <c r="BA68" s="258">
        <f t="shared" si="28"/>
        <v>0</v>
      </c>
      <c r="BB68" s="501"/>
      <c r="BE68" s="501"/>
      <c r="BF68" s="221"/>
      <c r="BG68" s="515">
        <f t="shared" si="15"/>
        <v>0</v>
      </c>
      <c r="BI68" s="65"/>
      <c r="BJ68" s="55"/>
      <c r="BK68" s="65"/>
      <c r="BL68" s="69">
        <f t="shared" si="10"/>
        <v>0</v>
      </c>
      <c r="BM68" s="55"/>
      <c r="BN68" s="55"/>
      <c r="BO68" s="55"/>
      <c r="BP68" s="55">
        <f t="shared" si="34"/>
        <v>0</v>
      </c>
      <c r="BQ68" s="69">
        <f t="shared" si="35"/>
        <v>0</v>
      </c>
      <c r="BR68" s="55">
        <v>500000</v>
      </c>
      <c r="BS68" s="55">
        <v>500000</v>
      </c>
      <c r="BT68" s="55">
        <v>500000</v>
      </c>
      <c r="BU68" s="353"/>
      <c r="BV68" s="347">
        <v>400000</v>
      </c>
    </row>
    <row r="69" spans="1:86" x14ac:dyDescent="0.25">
      <c r="A69" s="54" t="s">
        <v>49</v>
      </c>
      <c r="B69" s="446" t="s">
        <v>158</v>
      </c>
      <c r="C69" s="55">
        <v>1652000</v>
      </c>
      <c r="D69" s="55">
        <v>1619158</v>
      </c>
      <c r="E69" s="55">
        <v>2062000</v>
      </c>
      <c r="F69" s="55">
        <f>1210754+263567+59522</f>
        <v>1533843</v>
      </c>
      <c r="G69" s="55">
        <v>2658127</v>
      </c>
      <c r="H69" s="55">
        <v>1421190</v>
      </c>
      <c r="I69" s="55">
        <f t="shared" si="2"/>
        <v>1550389.0909090908</v>
      </c>
      <c r="J69" s="55">
        <v>4555000</v>
      </c>
      <c r="K69" s="55">
        <v>4555000</v>
      </c>
      <c r="L69" s="55">
        <f>4555000-1600000</f>
        <v>2955000</v>
      </c>
      <c r="M69" s="55">
        <f t="shared" si="3"/>
        <v>190.59731633349517</v>
      </c>
      <c r="N69" s="69">
        <f>K69-L69</f>
        <v>1600000</v>
      </c>
      <c r="O69" s="55">
        <v>3055000</v>
      </c>
      <c r="P69" s="55">
        <v>1923689</v>
      </c>
      <c r="Q69" s="55">
        <v>2294868</v>
      </c>
      <c r="R69" s="55">
        <v>2955000</v>
      </c>
      <c r="S69" s="55">
        <v>3433000</v>
      </c>
      <c r="T69" s="55">
        <v>2800747</v>
      </c>
      <c r="U69" s="55">
        <f>1680000+2875000+718000</f>
        <v>5273000</v>
      </c>
      <c r="V69" s="55">
        <f t="shared" si="4"/>
        <v>5273000</v>
      </c>
      <c r="W69" s="66">
        <v>3500000</v>
      </c>
      <c r="X69" s="122">
        <f t="shared" si="37"/>
        <v>53.114868196472599</v>
      </c>
      <c r="Z69" s="140">
        <f t="shared" si="24"/>
        <v>1.2496666068016855</v>
      </c>
      <c r="AA69" s="69">
        <f t="shared" si="6"/>
        <v>3500000</v>
      </c>
      <c r="AB69" s="55">
        <v>1181372</v>
      </c>
      <c r="AC69" s="55">
        <v>1507838</v>
      </c>
      <c r="AD69" s="55">
        <v>1622358</v>
      </c>
      <c r="AE69" s="122">
        <f t="shared" si="23"/>
        <v>46.353085714285712</v>
      </c>
      <c r="AF69" s="55">
        <v>2670837</v>
      </c>
      <c r="AG69" s="222">
        <v>1988708</v>
      </c>
      <c r="AH69" s="55">
        <f t="shared" si="7"/>
        <v>2386449.5999999996</v>
      </c>
      <c r="AI69" s="63">
        <v>3000000</v>
      </c>
      <c r="AJ69" s="52"/>
      <c r="AK69" s="69">
        <f t="shared" si="8"/>
        <v>3000000</v>
      </c>
      <c r="AM69" s="347">
        <v>3012490</v>
      </c>
      <c r="AN69" s="353"/>
      <c r="AO69" s="353"/>
      <c r="AP69" s="382">
        <v>3125000</v>
      </c>
      <c r="AQ69" s="382">
        <v>2282296</v>
      </c>
      <c r="AR69" s="381">
        <f t="shared" si="14"/>
        <v>842704</v>
      </c>
      <c r="AS69" s="54">
        <f t="shared" si="19"/>
        <v>73.033472000000003</v>
      </c>
      <c r="AT69" s="65">
        <v>2579633</v>
      </c>
      <c r="AU69" s="69">
        <f>AP69-AT69</f>
        <v>545367</v>
      </c>
      <c r="AV69" s="54">
        <f>AU69/AP69*100</f>
        <v>17.451743999999998</v>
      </c>
      <c r="AW69" s="382">
        <v>3000000</v>
      </c>
      <c r="AX69" s="433">
        <v>3500000</v>
      </c>
      <c r="AY69" s="69">
        <f t="shared" si="9"/>
        <v>3500000</v>
      </c>
      <c r="AZ69" s="69">
        <f t="shared" si="27"/>
        <v>3500000</v>
      </c>
      <c r="BA69" s="258">
        <f t="shared" si="28"/>
        <v>3500000</v>
      </c>
      <c r="BB69" s="501">
        <v>3500000</v>
      </c>
      <c r="BC69" s="501">
        <v>12529572</v>
      </c>
      <c r="BD69" s="501">
        <v>2756247</v>
      </c>
      <c r="BE69" s="501">
        <v>3178055</v>
      </c>
      <c r="BF69" s="221">
        <v>3619501</v>
      </c>
      <c r="BG69" s="515">
        <f t="shared" si="15"/>
        <v>4343401.1999999993</v>
      </c>
      <c r="BH69" s="65">
        <v>4000000</v>
      </c>
      <c r="BI69" s="65">
        <v>17692059</v>
      </c>
      <c r="BJ69" s="55">
        <v>1661409</v>
      </c>
      <c r="BK69" s="65">
        <v>2564747</v>
      </c>
      <c r="BL69" s="69">
        <f t="shared" si="10"/>
        <v>3077696.4000000004</v>
      </c>
      <c r="BM69" s="55">
        <v>3000000</v>
      </c>
      <c r="BN69" s="55">
        <v>3000000</v>
      </c>
      <c r="BO69" s="55">
        <v>2374491</v>
      </c>
      <c r="BP69" s="55">
        <f t="shared" si="34"/>
        <v>2849389.2</v>
      </c>
      <c r="BQ69" s="69">
        <f t="shared" si="35"/>
        <v>3134328.1200000006</v>
      </c>
      <c r="BR69" s="55">
        <v>3220000</v>
      </c>
      <c r="BS69" s="55">
        <v>3220000</v>
      </c>
      <c r="BT69" s="55">
        <v>3220000</v>
      </c>
      <c r="BU69" s="353">
        <v>4000000</v>
      </c>
      <c r="BV69" s="347">
        <v>4500000</v>
      </c>
    </row>
    <row r="70" spans="1:86" x14ac:dyDescent="0.25">
      <c r="A70" s="54" t="s">
        <v>50</v>
      </c>
      <c r="B70" s="446" t="s">
        <v>159</v>
      </c>
      <c r="C70" s="55">
        <v>290000</v>
      </c>
      <c r="D70" s="55">
        <v>188715</v>
      </c>
      <c r="E70" s="55">
        <v>290000</v>
      </c>
      <c r="F70" s="55">
        <f>52350+29000</f>
        <v>81350</v>
      </c>
      <c r="G70" s="55">
        <f>290000+29000</f>
        <v>319000</v>
      </c>
      <c r="H70" s="55">
        <f>70640+29000</f>
        <v>99640</v>
      </c>
      <c r="I70" s="55">
        <f t="shared" si="2"/>
        <v>108698.18181818182</v>
      </c>
      <c r="J70" s="55">
        <v>400000</v>
      </c>
      <c r="K70" s="55">
        <v>400000</v>
      </c>
      <c r="L70" s="55">
        <v>400000</v>
      </c>
      <c r="M70" s="55">
        <f t="shared" si="3"/>
        <v>367.99143583567508</v>
      </c>
      <c r="N70" s="69"/>
      <c r="O70" s="55">
        <v>400000</v>
      </c>
      <c r="P70" s="55">
        <v>64580</v>
      </c>
      <c r="Q70" s="55">
        <v>75925</v>
      </c>
      <c r="R70" s="55">
        <v>400000</v>
      </c>
      <c r="S70" s="55">
        <v>400000</v>
      </c>
      <c r="T70" s="55">
        <v>113380</v>
      </c>
      <c r="U70" s="55">
        <f>300000+100000+25000</f>
        <v>425000</v>
      </c>
      <c r="V70" s="55">
        <f t="shared" si="4"/>
        <v>425000</v>
      </c>
      <c r="W70" s="66">
        <v>300000</v>
      </c>
      <c r="X70" s="122">
        <f t="shared" si="37"/>
        <v>26.677647058823528</v>
      </c>
      <c r="Z70" s="140">
        <f t="shared" si="24"/>
        <v>2.6459693067560415</v>
      </c>
      <c r="AA70" s="69">
        <f t="shared" si="6"/>
        <v>300000</v>
      </c>
      <c r="AB70" s="55">
        <v>105570</v>
      </c>
      <c r="AC70" s="55">
        <v>125260</v>
      </c>
      <c r="AD70" s="55">
        <v>136210</v>
      </c>
      <c r="AE70" s="122">
        <f t="shared" si="23"/>
        <v>45.403333333333336</v>
      </c>
      <c r="AF70" s="55">
        <v>410000</v>
      </c>
      <c r="AG70" s="222">
        <v>166110</v>
      </c>
      <c r="AH70" s="55">
        <f t="shared" si="7"/>
        <v>199332</v>
      </c>
      <c r="AI70" s="63">
        <v>300000</v>
      </c>
      <c r="AJ70" s="52"/>
      <c r="AK70" s="69">
        <f t="shared" si="8"/>
        <v>300000</v>
      </c>
      <c r="AM70" s="347">
        <v>195600</v>
      </c>
      <c r="AN70" s="353"/>
      <c r="AO70" s="353"/>
      <c r="AP70" s="382">
        <v>300000</v>
      </c>
      <c r="AQ70" s="382">
        <v>49515</v>
      </c>
      <c r="AR70" s="381">
        <f t="shared" si="14"/>
        <v>250485</v>
      </c>
      <c r="AS70" s="54">
        <f t="shared" si="19"/>
        <v>16.504999999999999</v>
      </c>
      <c r="AT70" s="65">
        <v>54580</v>
      </c>
      <c r="AU70" s="69">
        <f>AP70-AT70</f>
        <v>245420</v>
      </c>
      <c r="AV70" s="54">
        <f>AU70/AP70*100</f>
        <v>81.806666666666672</v>
      </c>
      <c r="AW70" s="382">
        <v>300000</v>
      </c>
      <c r="AX70" s="381">
        <v>300000</v>
      </c>
      <c r="AY70" s="69">
        <f t="shared" si="9"/>
        <v>300000</v>
      </c>
      <c r="AZ70" s="69">
        <f t="shared" si="27"/>
        <v>300000</v>
      </c>
      <c r="BA70" s="258">
        <f t="shared" si="28"/>
        <v>300000</v>
      </c>
      <c r="BB70" s="501">
        <v>300000</v>
      </c>
      <c r="BC70" s="501">
        <v>300000</v>
      </c>
      <c r="BD70" s="501">
        <v>61275</v>
      </c>
      <c r="BE70" s="501">
        <v>63905</v>
      </c>
      <c r="BF70" s="221">
        <v>63905</v>
      </c>
      <c r="BG70" s="515">
        <f t="shared" si="15"/>
        <v>76686</v>
      </c>
      <c r="BH70" s="65">
        <v>150000</v>
      </c>
      <c r="BI70" s="65">
        <v>150000</v>
      </c>
      <c r="BJ70" s="55">
        <v>23155</v>
      </c>
      <c r="BK70" s="65">
        <v>85800</v>
      </c>
      <c r="BL70" s="69">
        <f t="shared" si="10"/>
        <v>102960</v>
      </c>
      <c r="BM70" s="55">
        <v>200000</v>
      </c>
      <c r="BN70" s="55">
        <v>200000</v>
      </c>
      <c r="BO70" s="55">
        <v>71750</v>
      </c>
      <c r="BP70" s="55">
        <f t="shared" si="34"/>
        <v>86100</v>
      </c>
      <c r="BQ70" s="69">
        <f t="shared" si="35"/>
        <v>94710.000000000015</v>
      </c>
      <c r="BR70" s="55">
        <v>120000</v>
      </c>
      <c r="BS70" s="55">
        <v>120000</v>
      </c>
      <c r="BT70" s="55">
        <v>120000</v>
      </c>
      <c r="BU70" s="353">
        <v>220000</v>
      </c>
      <c r="BV70" s="347">
        <v>200000</v>
      </c>
    </row>
    <row r="71" spans="1:86" x14ac:dyDescent="0.25">
      <c r="A71" s="54" t="s">
        <v>257</v>
      </c>
      <c r="B71" s="454" t="s">
        <v>258</v>
      </c>
      <c r="C71" s="55"/>
      <c r="D71" s="55"/>
      <c r="E71" s="55"/>
      <c r="F71" s="55"/>
      <c r="G71" s="55"/>
      <c r="H71" s="55"/>
      <c r="I71" s="55">
        <f t="shared" si="2"/>
        <v>0</v>
      </c>
      <c r="J71" s="55"/>
      <c r="K71" s="55"/>
      <c r="L71" s="55"/>
      <c r="M71" s="55">
        <f t="shared" si="3"/>
        <v>0</v>
      </c>
      <c r="N71" s="69"/>
      <c r="O71" s="55"/>
      <c r="P71" s="55"/>
      <c r="Q71" s="55"/>
      <c r="R71" s="55"/>
      <c r="S71" s="55"/>
      <c r="T71" s="55"/>
      <c r="U71" s="55"/>
      <c r="V71" s="55">
        <f t="shared" si="4"/>
        <v>0</v>
      </c>
      <c r="W71" s="55">
        <f t="shared" si="5"/>
        <v>0</v>
      </c>
      <c r="X71" s="122"/>
      <c r="Y71" s="120"/>
      <c r="Z71" s="140" t="e">
        <f t="shared" si="24"/>
        <v>#DIV/0!</v>
      </c>
      <c r="AA71" s="69">
        <f t="shared" si="6"/>
        <v>0</v>
      </c>
      <c r="AB71" s="55"/>
      <c r="AC71" s="55"/>
      <c r="AD71" s="55"/>
      <c r="AE71" s="122"/>
      <c r="AF71" s="55"/>
      <c r="AG71" s="222"/>
      <c r="AH71" s="55">
        <f t="shared" si="7"/>
        <v>0</v>
      </c>
      <c r="AJ71" s="52"/>
      <c r="AK71" s="69">
        <f t="shared" si="8"/>
        <v>0</v>
      </c>
      <c r="AM71" s="347"/>
      <c r="AN71" s="353"/>
      <c r="AO71" s="353"/>
      <c r="AP71" s="382"/>
      <c r="AR71" s="381">
        <f t="shared" si="14"/>
        <v>0</v>
      </c>
      <c r="AT71" s="65"/>
      <c r="AU71" s="69"/>
      <c r="AW71" s="382"/>
      <c r="AX71" s="381"/>
      <c r="AY71" s="69">
        <f t="shared" ref="AY71:AY101" si="41">AX71</f>
        <v>0</v>
      </c>
      <c r="AZ71" s="69">
        <f t="shared" si="27"/>
        <v>0</v>
      </c>
      <c r="BA71" s="258">
        <f t="shared" si="28"/>
        <v>0</v>
      </c>
      <c r="BB71" s="501"/>
      <c r="BE71" s="501"/>
      <c r="BF71" s="221"/>
      <c r="BG71" s="515">
        <f t="shared" si="15"/>
        <v>0</v>
      </c>
      <c r="BI71" s="65"/>
      <c r="BJ71" s="55"/>
      <c r="BK71" s="65"/>
      <c r="BL71" s="69">
        <f t="shared" ref="BL71:BL101" si="42">BK71/10*12</f>
        <v>0</v>
      </c>
      <c r="BM71" s="55"/>
      <c r="BN71" s="55"/>
      <c r="BO71" s="55"/>
      <c r="BP71" s="55">
        <f t="shared" si="34"/>
        <v>0</v>
      </c>
      <c r="BQ71" s="69">
        <f t="shared" si="35"/>
        <v>0</v>
      </c>
      <c r="BR71" s="55"/>
      <c r="BS71" s="55"/>
      <c r="BT71" s="55"/>
      <c r="BU71" s="353"/>
      <c r="BV71" s="347"/>
    </row>
    <row r="72" spans="1:86" x14ac:dyDescent="0.25">
      <c r="A72" s="54" t="s">
        <v>51</v>
      </c>
      <c r="B72" s="446" t="s">
        <v>160</v>
      </c>
      <c r="C72" s="55">
        <v>9171489</v>
      </c>
      <c r="D72" s="55">
        <v>7399489</v>
      </c>
      <c r="E72" s="55">
        <v>9818550</v>
      </c>
      <c r="F72" s="55">
        <v>5037496</v>
      </c>
      <c r="G72" s="55">
        <v>6917912</v>
      </c>
      <c r="H72" s="55">
        <v>5564900</v>
      </c>
      <c r="I72" s="55">
        <f t="shared" si="2"/>
        <v>6070800</v>
      </c>
      <c r="J72" s="55">
        <v>10460610</v>
      </c>
      <c r="K72" s="55">
        <v>7748600</v>
      </c>
      <c r="L72" s="55">
        <f>SUM(L56:L69)*0.2</f>
        <v>6742600</v>
      </c>
      <c r="M72" s="55">
        <f t="shared" si="3"/>
        <v>111.06608684193186</v>
      </c>
      <c r="N72" s="69">
        <f t="shared" ref="N72" si="43">K72-L72</f>
        <v>1006000</v>
      </c>
      <c r="O72" s="55">
        <v>7041440</v>
      </c>
      <c r="P72" s="55">
        <v>4461687</v>
      </c>
      <c r="Q72" s="55">
        <v>5163649</v>
      </c>
      <c r="R72" s="55">
        <v>7428600</v>
      </c>
      <c r="S72" s="55">
        <v>7051640</v>
      </c>
      <c r="T72" s="55">
        <v>6217667</v>
      </c>
      <c r="U72" s="55">
        <f>SUM(U56:U69)*0.2</f>
        <v>7383800</v>
      </c>
      <c r="V72" s="55">
        <f>SUM(V56:V69)*0.2</f>
        <v>7383800</v>
      </c>
      <c r="W72" s="55">
        <f>SUM(W56:W69)*0.2</f>
        <v>6999200</v>
      </c>
      <c r="X72" s="122">
        <f t="shared" si="37"/>
        <v>84.206871800427962</v>
      </c>
      <c r="Z72" s="140">
        <f t="shared" si="24"/>
        <v>1.1256955382139313</v>
      </c>
      <c r="AA72" s="69">
        <f t="shared" si="6"/>
        <v>6999200</v>
      </c>
      <c r="AB72" s="55">
        <v>3740305</v>
      </c>
      <c r="AC72" s="122">
        <v>4164160</v>
      </c>
      <c r="AD72" s="247">
        <v>4652954</v>
      </c>
      <c r="AE72" s="122">
        <f t="shared" si="23"/>
        <v>66.478368956452158</v>
      </c>
      <c r="AF72" s="55">
        <v>7021200</v>
      </c>
      <c r="AG72" s="222">
        <v>5433531</v>
      </c>
      <c r="AH72" s="55">
        <f t="shared" ref="AH72:AH101" si="44">AG72/10*12</f>
        <v>6520237.1999999993</v>
      </c>
      <c r="AI72" s="63">
        <f t="shared" si="36"/>
        <v>6650641.9439999992</v>
      </c>
      <c r="AJ72" s="52"/>
      <c r="AK72" s="69">
        <f t="shared" ref="AK72:AK101" si="45">AI72</f>
        <v>6650641.9439999992</v>
      </c>
      <c r="AM72" s="347">
        <v>6436416</v>
      </c>
      <c r="AN72" s="353"/>
      <c r="AO72" s="353"/>
      <c r="AP72" s="382">
        <v>6740642</v>
      </c>
      <c r="AQ72" s="382">
        <v>4015255</v>
      </c>
      <c r="AR72" s="381">
        <f t="shared" si="14"/>
        <v>2725387</v>
      </c>
      <c r="AS72" s="54">
        <f t="shared" si="19"/>
        <v>59.567842350921474</v>
      </c>
      <c r="AT72" s="65">
        <v>5010324</v>
      </c>
      <c r="AU72" s="69">
        <f>AP72-AT72</f>
        <v>1730318</v>
      </c>
      <c r="AV72" s="54">
        <f>AU72/AP72*100</f>
        <v>25.669928769396151</v>
      </c>
      <c r="AW72" s="382">
        <v>6650642</v>
      </c>
      <c r="AX72" s="381">
        <v>6650642</v>
      </c>
      <c r="AY72" s="69">
        <f t="shared" si="41"/>
        <v>6650642</v>
      </c>
      <c r="AZ72" s="69">
        <f t="shared" si="27"/>
        <v>6650642</v>
      </c>
      <c r="BA72" s="258">
        <f t="shared" si="28"/>
        <v>6650642</v>
      </c>
      <c r="BB72" s="501">
        <v>6650642</v>
      </c>
      <c r="BC72" s="501">
        <v>7264241</v>
      </c>
      <c r="BD72" s="501">
        <v>4330113</v>
      </c>
      <c r="BE72" s="501">
        <v>5256322</v>
      </c>
      <c r="BF72" s="221">
        <v>6108388</v>
      </c>
      <c r="BG72" s="515">
        <f t="shared" si="15"/>
        <v>7330065.6000000006</v>
      </c>
      <c r="BH72" s="65">
        <v>5726000</v>
      </c>
      <c r="BI72" s="65">
        <v>9226000</v>
      </c>
      <c r="BJ72" s="55">
        <v>4754185</v>
      </c>
      <c r="BK72" s="65">
        <v>7527606</v>
      </c>
      <c r="BL72" s="69">
        <f t="shared" si="42"/>
        <v>9033127.1999999993</v>
      </c>
      <c r="BM72" s="55">
        <f>SUM(BM56:BM71)*0.18</f>
        <v>9288000</v>
      </c>
      <c r="BN72" s="55">
        <v>9972000</v>
      </c>
      <c r="BO72" s="55">
        <v>9753621</v>
      </c>
      <c r="BP72" s="55">
        <f>SUM(BP56:BP71)*0.18</f>
        <v>10212454.512</v>
      </c>
      <c r="BQ72" s="69">
        <f t="shared" si="35"/>
        <v>11233699.963200001</v>
      </c>
      <c r="BR72" s="55">
        <v>11000000</v>
      </c>
      <c r="BS72" s="55">
        <v>11000000</v>
      </c>
      <c r="BT72" s="722">
        <f>SUM(BT56:BT71)*0.14</f>
        <v>8750000</v>
      </c>
      <c r="BU72" s="353">
        <v>12081600</v>
      </c>
      <c r="BV72" s="347">
        <v>12500000</v>
      </c>
    </row>
    <row r="73" spans="1:86" x14ac:dyDescent="0.25">
      <c r="A73" s="54" t="s">
        <v>237</v>
      </c>
      <c r="B73" s="446" t="s">
        <v>238</v>
      </c>
      <c r="C73" s="55">
        <v>0</v>
      </c>
      <c r="D73" s="55"/>
      <c r="E73" s="55"/>
      <c r="F73" s="55"/>
      <c r="G73" s="55"/>
      <c r="H73" s="55"/>
      <c r="I73" s="55">
        <f t="shared" si="2"/>
        <v>0</v>
      </c>
      <c r="J73" s="55"/>
      <c r="K73" s="55"/>
      <c r="L73" s="55"/>
      <c r="M73" s="55">
        <f t="shared" si="3"/>
        <v>0</v>
      </c>
      <c r="N73" s="54"/>
      <c r="O73" s="55"/>
      <c r="P73" s="55"/>
      <c r="Q73" s="55"/>
      <c r="R73" s="55"/>
      <c r="S73" s="55"/>
      <c r="T73" s="55"/>
      <c r="U73" s="55"/>
      <c r="V73" s="55">
        <f t="shared" si="4"/>
        <v>0</v>
      </c>
      <c r="W73" s="55">
        <f t="shared" si="5"/>
        <v>0</v>
      </c>
      <c r="X73" s="122"/>
      <c r="Z73" s="140" t="e">
        <f t="shared" si="24"/>
        <v>#DIV/0!</v>
      </c>
      <c r="AA73" s="69">
        <f t="shared" si="6"/>
        <v>0</v>
      </c>
      <c r="AB73" s="55">
        <v>421000</v>
      </c>
      <c r="AC73" s="55">
        <v>454000</v>
      </c>
      <c r="AD73" s="55">
        <v>454000</v>
      </c>
      <c r="AE73" s="122"/>
      <c r="AF73" s="55">
        <v>695000</v>
      </c>
      <c r="AG73" s="222">
        <v>582000</v>
      </c>
      <c r="AH73" s="55">
        <f t="shared" si="44"/>
        <v>698400</v>
      </c>
      <c r="AI73" s="63">
        <f t="shared" si="36"/>
        <v>712368</v>
      </c>
      <c r="AJ73" s="52"/>
      <c r="AK73" s="69">
        <f t="shared" si="45"/>
        <v>712368</v>
      </c>
      <c r="AM73" s="347">
        <v>582000</v>
      </c>
      <c r="AN73" s="353"/>
      <c r="AO73" s="353"/>
      <c r="AP73" s="382">
        <v>67000</v>
      </c>
      <c r="AQ73" s="382">
        <v>67000</v>
      </c>
      <c r="AR73" s="382">
        <v>67000</v>
      </c>
      <c r="AS73" s="382">
        <v>67000</v>
      </c>
      <c r="AT73" s="382">
        <v>67000</v>
      </c>
      <c r="AU73" s="69">
        <f>AP73-AT73</f>
        <v>0</v>
      </c>
      <c r="AV73" s="54">
        <f>AU73/AP73*100</f>
        <v>0</v>
      </c>
      <c r="AW73" s="382">
        <v>712368</v>
      </c>
      <c r="AX73" s="381">
        <v>712368</v>
      </c>
      <c r="AY73" s="69">
        <f t="shared" si="41"/>
        <v>712368</v>
      </c>
      <c r="AZ73" s="69">
        <f t="shared" si="27"/>
        <v>712368</v>
      </c>
      <c r="BA73" s="258">
        <f t="shared" si="28"/>
        <v>712368</v>
      </c>
      <c r="BB73" s="501">
        <v>712369</v>
      </c>
      <c r="BC73" s="501">
        <v>710940</v>
      </c>
      <c r="BD73" s="501">
        <v>498000</v>
      </c>
      <c r="BE73" s="501">
        <v>498000</v>
      </c>
      <c r="BF73" s="221">
        <v>922000</v>
      </c>
      <c r="BG73" s="515">
        <f t="shared" si="15"/>
        <v>1106400</v>
      </c>
      <c r="BH73" s="65">
        <v>1000000</v>
      </c>
      <c r="BI73" s="65">
        <v>114000</v>
      </c>
      <c r="BJ73" s="55">
        <v>114000</v>
      </c>
      <c r="BK73" s="65">
        <v>114000</v>
      </c>
      <c r="BL73" s="69">
        <f t="shared" si="42"/>
        <v>136800</v>
      </c>
      <c r="BM73" s="55"/>
      <c r="BN73" s="55"/>
      <c r="BO73" s="55">
        <v>1214000</v>
      </c>
      <c r="BP73" s="55">
        <f t="shared" si="34"/>
        <v>1456800</v>
      </c>
      <c r="BQ73" s="69">
        <f t="shared" si="35"/>
        <v>1602480.0000000002</v>
      </c>
      <c r="BR73" s="55">
        <v>0</v>
      </c>
      <c r="BS73" s="55">
        <v>0</v>
      </c>
      <c r="BT73" s="55">
        <v>0</v>
      </c>
      <c r="BU73" s="353">
        <v>184000</v>
      </c>
      <c r="BV73" s="347">
        <v>1500000</v>
      </c>
    </row>
    <row r="74" spans="1:86" x14ac:dyDescent="0.25">
      <c r="A74" s="54" t="s">
        <v>52</v>
      </c>
      <c r="B74" s="58" t="s">
        <v>199</v>
      </c>
      <c r="C74" s="55">
        <v>0</v>
      </c>
      <c r="D74" s="55">
        <v>9716</v>
      </c>
      <c r="E74" s="55">
        <v>0</v>
      </c>
      <c r="F74" s="55"/>
      <c r="G74" s="55"/>
      <c r="H74" s="55"/>
      <c r="I74" s="55">
        <f t="shared" si="2"/>
        <v>0</v>
      </c>
      <c r="J74" s="55"/>
      <c r="K74" s="55"/>
      <c r="L74" s="55"/>
      <c r="M74" s="55">
        <f t="shared" si="3"/>
        <v>0</v>
      </c>
      <c r="N74" s="54"/>
      <c r="O74" s="55"/>
      <c r="P74" s="55"/>
      <c r="Q74" s="55"/>
      <c r="R74" s="55"/>
      <c r="S74" s="55"/>
      <c r="T74" s="55"/>
      <c r="U74" s="55"/>
      <c r="V74" s="55">
        <f t="shared" si="4"/>
        <v>0</v>
      </c>
      <c r="W74" s="55">
        <f t="shared" si="5"/>
        <v>0</v>
      </c>
      <c r="X74" s="122"/>
      <c r="Z74" s="140" t="e">
        <f t="shared" si="24"/>
        <v>#DIV/0!</v>
      </c>
      <c r="AA74" s="69">
        <f t="shared" si="6"/>
        <v>0</v>
      </c>
      <c r="AB74" s="55"/>
      <c r="AC74" s="55"/>
      <c r="AD74" s="55"/>
      <c r="AE74" s="122"/>
      <c r="AF74" s="55"/>
      <c r="AG74" s="222"/>
      <c r="AH74" s="55">
        <f t="shared" si="44"/>
        <v>0</v>
      </c>
      <c r="AI74" s="63">
        <f t="shared" si="36"/>
        <v>0</v>
      </c>
      <c r="AJ74" s="52"/>
      <c r="AK74" s="69">
        <f t="shared" si="45"/>
        <v>0</v>
      </c>
      <c r="AM74" s="347"/>
      <c r="AN74" s="353"/>
      <c r="AO74" s="353"/>
      <c r="AP74" s="382"/>
      <c r="AR74" s="381">
        <f t="shared" si="14"/>
        <v>0</v>
      </c>
      <c r="AT74" s="65"/>
      <c r="AU74" s="69"/>
      <c r="AW74" s="382"/>
      <c r="AX74" s="55"/>
      <c r="AY74" s="69">
        <f t="shared" si="41"/>
        <v>0</v>
      </c>
      <c r="AZ74" s="69">
        <f t="shared" si="27"/>
        <v>0</v>
      </c>
      <c r="BA74" s="258">
        <f t="shared" si="28"/>
        <v>0</v>
      </c>
      <c r="BB74" s="501"/>
      <c r="BE74" s="501"/>
      <c r="BF74" s="221"/>
      <c r="BG74" s="515">
        <f t="shared" si="15"/>
        <v>0</v>
      </c>
      <c r="BI74" s="65"/>
      <c r="BJ74" s="55"/>
      <c r="BK74" s="65"/>
      <c r="BL74" s="69">
        <f t="shared" si="42"/>
        <v>0</v>
      </c>
      <c r="BM74" s="55"/>
      <c r="BN74" s="55"/>
      <c r="BO74" s="55"/>
      <c r="BP74" s="55">
        <f t="shared" si="34"/>
        <v>0</v>
      </c>
      <c r="BQ74" s="69">
        <f t="shared" si="35"/>
        <v>0</v>
      </c>
      <c r="BR74" s="55"/>
      <c r="BS74" s="55"/>
      <c r="BT74" s="55"/>
      <c r="BU74" s="353">
        <v>65000</v>
      </c>
      <c r="BV74" s="347">
        <v>40000</v>
      </c>
    </row>
    <row r="75" spans="1:86" x14ac:dyDescent="0.25">
      <c r="A75" s="54" t="s">
        <v>562</v>
      </c>
      <c r="B75" s="58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4"/>
      <c r="O75" s="55"/>
      <c r="P75" s="55"/>
      <c r="Q75" s="55"/>
      <c r="R75" s="55"/>
      <c r="S75" s="55"/>
      <c r="T75" s="55"/>
      <c r="U75" s="55"/>
      <c r="V75" s="55"/>
      <c r="W75" s="55"/>
      <c r="X75" s="122"/>
      <c r="Z75" s="140"/>
      <c r="AA75" s="69"/>
      <c r="AB75" s="55"/>
      <c r="AC75" s="55"/>
      <c r="AD75" s="55"/>
      <c r="AE75" s="122"/>
      <c r="AF75" s="55"/>
      <c r="AG75" s="222"/>
      <c r="AJ75" s="52"/>
      <c r="AK75" s="69"/>
      <c r="AM75" s="347"/>
      <c r="AN75" s="353"/>
      <c r="AO75" s="353"/>
      <c r="AP75" s="382"/>
      <c r="AR75" s="381">
        <f t="shared" si="14"/>
        <v>0</v>
      </c>
      <c r="AT75" s="65"/>
      <c r="AU75" s="69"/>
      <c r="AW75" s="382"/>
      <c r="AX75" s="55"/>
      <c r="AY75" s="69">
        <f t="shared" si="41"/>
        <v>0</v>
      </c>
      <c r="AZ75" s="69">
        <f t="shared" si="27"/>
        <v>0</v>
      </c>
      <c r="BA75" s="258">
        <f t="shared" si="28"/>
        <v>0</v>
      </c>
      <c r="BB75" s="501"/>
      <c r="BE75" s="501"/>
      <c r="BF75" s="221"/>
      <c r="BG75" s="515">
        <f t="shared" si="15"/>
        <v>0</v>
      </c>
      <c r="BI75" s="65"/>
      <c r="BJ75" s="55"/>
      <c r="BK75" s="65"/>
      <c r="BL75" s="69">
        <f t="shared" si="42"/>
        <v>0</v>
      </c>
      <c r="BM75" s="55"/>
      <c r="BN75" s="55"/>
      <c r="BO75" s="55"/>
      <c r="BP75" s="55">
        <f t="shared" si="34"/>
        <v>0</v>
      </c>
      <c r="BQ75" s="69">
        <f t="shared" si="35"/>
        <v>0</v>
      </c>
      <c r="BR75" s="55"/>
      <c r="BS75" s="55"/>
      <c r="BT75" s="55"/>
      <c r="BU75" s="353"/>
      <c r="BV75" s="347"/>
    </row>
    <row r="76" spans="1:86" x14ac:dyDescent="0.25">
      <c r="A76" s="54" t="s">
        <v>53</v>
      </c>
      <c r="B76" s="446" t="s">
        <v>161</v>
      </c>
      <c r="C76" s="55">
        <v>0</v>
      </c>
      <c r="D76" s="55">
        <v>0</v>
      </c>
      <c r="E76" s="55">
        <v>0</v>
      </c>
      <c r="F76" s="55">
        <v>7800</v>
      </c>
      <c r="G76" s="55">
        <v>80043</v>
      </c>
      <c r="H76" s="55">
        <v>7800</v>
      </c>
      <c r="I76" s="55">
        <f t="shared" si="2"/>
        <v>8509.0909090909099</v>
      </c>
      <c r="J76" s="55">
        <v>0</v>
      </c>
      <c r="K76" s="55">
        <v>0</v>
      </c>
      <c r="L76" s="55">
        <v>0</v>
      </c>
      <c r="M76" s="55">
        <f t="shared" si="3"/>
        <v>0</v>
      </c>
      <c r="N76" s="54"/>
      <c r="O76" s="55"/>
      <c r="P76" s="55"/>
      <c r="Q76" s="55"/>
      <c r="R76" s="55"/>
      <c r="S76" s="55"/>
      <c r="T76" s="55"/>
      <c r="U76" s="55"/>
      <c r="V76" s="55">
        <f t="shared" si="4"/>
        <v>0</v>
      </c>
      <c r="W76" s="55">
        <f t="shared" si="5"/>
        <v>0</v>
      </c>
      <c r="X76" s="122"/>
      <c r="Z76" s="140" t="e">
        <f t="shared" ref="Z76:Z101" si="46">W76/T76</f>
        <v>#DIV/0!</v>
      </c>
      <c r="AA76" s="69">
        <f t="shared" si="6"/>
        <v>0</v>
      </c>
      <c r="AB76" s="55">
        <v>23000</v>
      </c>
      <c r="AC76" s="55">
        <v>23000</v>
      </c>
      <c r="AD76" s="55">
        <v>23000</v>
      </c>
      <c r="AE76" s="122"/>
      <c r="AF76" s="55">
        <v>33000</v>
      </c>
      <c r="AG76" s="222">
        <v>23000</v>
      </c>
      <c r="AH76" s="55">
        <f t="shared" si="44"/>
        <v>27600</v>
      </c>
      <c r="AJ76" s="52"/>
      <c r="AK76" s="69">
        <f t="shared" si="45"/>
        <v>0</v>
      </c>
      <c r="AM76" s="347">
        <v>23000</v>
      </c>
      <c r="AN76" s="353"/>
      <c r="AO76" s="353"/>
      <c r="AP76" s="382"/>
      <c r="AR76" s="381">
        <f t="shared" si="14"/>
        <v>0</v>
      </c>
      <c r="AT76" s="65"/>
      <c r="AU76" s="69"/>
      <c r="AW76" s="382"/>
      <c r="AX76" s="55"/>
      <c r="AY76" s="69">
        <f t="shared" si="41"/>
        <v>0</v>
      </c>
      <c r="AZ76" s="69">
        <f t="shared" si="27"/>
        <v>0</v>
      </c>
      <c r="BA76" s="258">
        <f t="shared" si="28"/>
        <v>0</v>
      </c>
      <c r="BB76" s="501"/>
      <c r="BE76" s="501"/>
      <c r="BF76" s="221"/>
      <c r="BG76" s="515">
        <f t="shared" si="15"/>
        <v>0</v>
      </c>
      <c r="BI76" s="65"/>
      <c r="BJ76" s="55"/>
      <c r="BK76" s="65"/>
      <c r="BL76" s="69">
        <f t="shared" si="42"/>
        <v>0</v>
      </c>
      <c r="BM76" s="55"/>
      <c r="BN76" s="55">
        <v>0</v>
      </c>
      <c r="BO76" s="55">
        <v>146260</v>
      </c>
      <c r="BP76" s="55">
        <f t="shared" si="34"/>
        <v>175512</v>
      </c>
      <c r="BQ76" s="69">
        <f t="shared" si="35"/>
        <v>193063.2</v>
      </c>
      <c r="BR76" s="55">
        <v>200000</v>
      </c>
      <c r="BS76" s="55">
        <v>200000</v>
      </c>
      <c r="BT76" s="55">
        <v>200000</v>
      </c>
      <c r="BU76" s="353">
        <v>34000</v>
      </c>
      <c r="BV76" s="347">
        <v>10000</v>
      </c>
    </row>
    <row r="77" spans="1:86" x14ac:dyDescent="0.25">
      <c r="A77" s="54" t="s">
        <v>54</v>
      </c>
      <c r="B77" s="58" t="s">
        <v>200</v>
      </c>
      <c r="C77" s="55">
        <v>0</v>
      </c>
      <c r="D77" s="55">
        <v>0</v>
      </c>
      <c r="E77" s="55">
        <v>0</v>
      </c>
      <c r="F77" s="55"/>
      <c r="G77" s="55"/>
      <c r="H77" s="55"/>
      <c r="I77" s="55">
        <f t="shared" si="2"/>
        <v>0</v>
      </c>
      <c r="J77" s="55"/>
      <c r="K77" s="55"/>
      <c r="L77" s="55"/>
      <c r="M77" s="55">
        <f t="shared" si="3"/>
        <v>0</v>
      </c>
      <c r="N77" s="54"/>
      <c r="O77" s="55"/>
      <c r="P77" s="55"/>
      <c r="Q77" s="55"/>
      <c r="R77" s="55"/>
      <c r="S77" s="55"/>
      <c r="T77" s="55"/>
      <c r="U77" s="55"/>
      <c r="V77" s="55">
        <f t="shared" ref="V77:V101" si="47">U77</f>
        <v>0</v>
      </c>
      <c r="W77" s="55">
        <f t="shared" ref="W77:W101" si="48">U77</f>
        <v>0</v>
      </c>
      <c r="X77" s="122"/>
      <c r="Z77" s="140" t="e">
        <f t="shared" si="46"/>
        <v>#DIV/0!</v>
      </c>
      <c r="AA77" s="69">
        <f t="shared" ref="AA77:AA101" si="49">W77</f>
        <v>0</v>
      </c>
      <c r="AB77" s="55"/>
      <c r="AC77" s="55"/>
      <c r="AD77" s="55"/>
      <c r="AE77" s="122"/>
      <c r="AF77" s="55"/>
      <c r="AG77" s="222"/>
      <c r="AH77" s="55">
        <f t="shared" si="44"/>
        <v>0</v>
      </c>
      <c r="AI77" s="63">
        <f t="shared" si="36"/>
        <v>0</v>
      </c>
      <c r="AJ77" s="52"/>
      <c r="AK77" s="69">
        <f t="shared" si="45"/>
        <v>0</v>
      </c>
      <c r="AM77" s="347"/>
      <c r="AN77" s="353"/>
      <c r="AO77" s="353"/>
      <c r="AP77" s="382"/>
      <c r="AR77" s="381">
        <f t="shared" si="14"/>
        <v>0</v>
      </c>
      <c r="AT77" s="65"/>
      <c r="AU77" s="69"/>
      <c r="AW77" s="382"/>
      <c r="AX77" s="55"/>
      <c r="AY77" s="69">
        <f t="shared" si="41"/>
        <v>0</v>
      </c>
      <c r="AZ77" s="69">
        <f t="shared" si="27"/>
        <v>0</v>
      </c>
      <c r="BA77" s="258">
        <f t="shared" si="28"/>
        <v>0</v>
      </c>
      <c r="BB77" s="501"/>
      <c r="BE77" s="501"/>
      <c r="BF77" s="221"/>
      <c r="BG77" s="515">
        <f t="shared" si="15"/>
        <v>0</v>
      </c>
      <c r="BI77" s="65"/>
      <c r="BJ77" s="55"/>
      <c r="BK77" s="65"/>
      <c r="BL77" s="69">
        <f t="shared" si="42"/>
        <v>0</v>
      </c>
      <c r="BM77" s="55"/>
      <c r="BN77" s="55"/>
      <c r="BO77" s="55"/>
      <c r="BP77" s="55">
        <f t="shared" si="34"/>
        <v>0</v>
      </c>
      <c r="BQ77" s="69">
        <f t="shared" si="35"/>
        <v>0</v>
      </c>
      <c r="BR77" s="55"/>
      <c r="BS77" s="55"/>
      <c r="BT77" s="55"/>
      <c r="BU77" s="353"/>
      <c r="BV77" s="347"/>
    </row>
    <row r="78" spans="1:86" x14ac:dyDescent="0.25">
      <c r="A78" s="54" t="s">
        <v>55</v>
      </c>
      <c r="B78" s="58" t="s">
        <v>201</v>
      </c>
      <c r="C78" s="55">
        <v>0</v>
      </c>
      <c r="D78" s="55">
        <v>0</v>
      </c>
      <c r="E78" s="55">
        <v>0</v>
      </c>
      <c r="F78" s="55"/>
      <c r="G78" s="55"/>
      <c r="H78" s="55"/>
      <c r="I78" s="55">
        <f t="shared" ref="I78:I108" si="50">H78/11+H78</f>
        <v>0</v>
      </c>
      <c r="J78" s="55"/>
      <c r="K78" s="55"/>
      <c r="L78" s="55"/>
      <c r="M78" s="55">
        <f t="shared" ref="M78:M108" si="51">IF(I78&lt;&gt;0,L78/I78*100,0)</f>
        <v>0</v>
      </c>
      <c r="N78" s="54"/>
      <c r="O78" s="55"/>
      <c r="P78" s="55"/>
      <c r="Q78" s="55"/>
      <c r="R78" s="55"/>
      <c r="S78" s="55"/>
      <c r="T78" s="55"/>
      <c r="U78" s="55"/>
      <c r="V78" s="55">
        <f t="shared" si="47"/>
        <v>0</v>
      </c>
      <c r="W78" s="55">
        <f t="shared" si="48"/>
        <v>0</v>
      </c>
      <c r="X78" s="122"/>
      <c r="Z78" s="140" t="e">
        <f t="shared" si="46"/>
        <v>#DIV/0!</v>
      </c>
      <c r="AA78" s="69">
        <f t="shared" si="49"/>
        <v>0</v>
      </c>
      <c r="AB78" s="55"/>
      <c r="AC78" s="55"/>
      <c r="AD78" s="55"/>
      <c r="AE78" s="122"/>
      <c r="AF78" s="55"/>
      <c r="AG78" s="222"/>
      <c r="AH78" s="55">
        <f t="shared" si="44"/>
        <v>0</v>
      </c>
      <c r="AI78" s="63">
        <f t="shared" si="36"/>
        <v>0</v>
      </c>
      <c r="AJ78" s="52"/>
      <c r="AK78" s="69">
        <f t="shared" si="45"/>
        <v>0</v>
      </c>
      <c r="AM78" s="347"/>
      <c r="AN78" s="353"/>
      <c r="AO78" s="353"/>
      <c r="AP78" s="382"/>
      <c r="AR78" s="381">
        <f t="shared" si="14"/>
        <v>0</v>
      </c>
      <c r="AT78" s="65"/>
      <c r="AU78" s="69"/>
      <c r="AW78" s="382"/>
      <c r="AX78" s="55"/>
      <c r="AY78" s="69">
        <f t="shared" si="41"/>
        <v>0</v>
      </c>
      <c r="AZ78" s="69">
        <f t="shared" si="27"/>
        <v>0</v>
      </c>
      <c r="BA78" s="258">
        <f t="shared" si="28"/>
        <v>0</v>
      </c>
      <c r="BB78" s="501"/>
      <c r="BE78" s="501"/>
      <c r="BF78" s="221"/>
      <c r="BG78" s="515">
        <f t="shared" si="15"/>
        <v>0</v>
      </c>
      <c r="BI78" s="65"/>
      <c r="BJ78" s="55"/>
      <c r="BK78" s="65"/>
      <c r="BL78" s="69">
        <f t="shared" si="42"/>
        <v>0</v>
      </c>
      <c r="BM78" s="55"/>
      <c r="BN78" s="55"/>
      <c r="BO78" s="55"/>
      <c r="BP78" s="55">
        <f t="shared" si="34"/>
        <v>0</v>
      </c>
      <c r="BQ78" s="69">
        <f t="shared" si="35"/>
        <v>0</v>
      </c>
      <c r="BR78" s="55"/>
      <c r="BS78" s="55"/>
      <c r="BT78" s="55"/>
      <c r="BU78" s="353"/>
      <c r="BV78" s="347"/>
    </row>
    <row r="79" spans="1:86" x14ac:dyDescent="0.25">
      <c r="A79" s="54" t="s">
        <v>56</v>
      </c>
      <c r="B79" s="58" t="s">
        <v>202</v>
      </c>
      <c r="C79" s="55">
        <v>0</v>
      </c>
      <c r="D79" s="55">
        <v>0</v>
      </c>
      <c r="E79" s="55">
        <v>0</v>
      </c>
      <c r="F79" s="55"/>
      <c r="G79" s="55"/>
      <c r="H79" s="55"/>
      <c r="I79" s="55">
        <f t="shared" si="50"/>
        <v>0</v>
      </c>
      <c r="J79" s="55"/>
      <c r="K79" s="55"/>
      <c r="L79" s="55"/>
      <c r="M79" s="55">
        <f t="shared" si="51"/>
        <v>0</v>
      </c>
      <c r="N79" s="54"/>
      <c r="O79" s="55"/>
      <c r="P79" s="55"/>
      <c r="Q79" s="55"/>
      <c r="R79" s="55"/>
      <c r="S79" s="55"/>
      <c r="T79" s="55"/>
      <c r="U79" s="55"/>
      <c r="V79" s="55">
        <f t="shared" si="47"/>
        <v>0</v>
      </c>
      <c r="W79" s="55">
        <f t="shared" si="48"/>
        <v>0</v>
      </c>
      <c r="X79" s="122"/>
      <c r="Z79" s="140" t="e">
        <f t="shared" si="46"/>
        <v>#DIV/0!</v>
      </c>
      <c r="AA79" s="69">
        <f t="shared" si="49"/>
        <v>0</v>
      </c>
      <c r="AB79" s="55"/>
      <c r="AC79" s="55"/>
      <c r="AD79" s="55"/>
      <c r="AE79" s="122"/>
      <c r="AF79" s="55"/>
      <c r="AG79" s="222"/>
      <c r="AH79" s="55">
        <f t="shared" si="44"/>
        <v>0</v>
      </c>
      <c r="AI79" s="63">
        <f t="shared" si="36"/>
        <v>0</v>
      </c>
      <c r="AJ79" s="52"/>
      <c r="AK79" s="69">
        <f t="shared" si="45"/>
        <v>0</v>
      </c>
      <c r="AM79" s="347"/>
      <c r="AN79" s="353"/>
      <c r="AO79" s="353"/>
      <c r="AP79" s="382"/>
      <c r="AR79" s="381">
        <f t="shared" si="14"/>
        <v>0</v>
      </c>
      <c r="AU79" s="69"/>
      <c r="AW79" s="382"/>
      <c r="AX79" s="55"/>
      <c r="AY79" s="69">
        <f t="shared" si="41"/>
        <v>0</v>
      </c>
      <c r="AZ79" s="69">
        <f t="shared" si="27"/>
        <v>0</v>
      </c>
      <c r="BA79" s="258">
        <f t="shared" si="28"/>
        <v>0</v>
      </c>
      <c r="BB79" s="501"/>
      <c r="BE79" s="501"/>
      <c r="BF79" s="221"/>
      <c r="BG79" s="515">
        <f t="shared" si="15"/>
        <v>0</v>
      </c>
      <c r="BI79" s="65"/>
      <c r="BJ79" s="55"/>
      <c r="BK79" s="65"/>
      <c r="BL79" s="69">
        <f t="shared" si="42"/>
        <v>0</v>
      </c>
      <c r="BM79" s="55"/>
      <c r="BN79" s="55"/>
      <c r="BO79" s="55"/>
      <c r="BP79" s="55">
        <f t="shared" si="34"/>
        <v>0</v>
      </c>
      <c r="BQ79" s="69">
        <f t="shared" si="35"/>
        <v>0</v>
      </c>
      <c r="BR79" s="55"/>
      <c r="BS79" s="55"/>
      <c r="BT79" s="55"/>
      <c r="BU79" s="353"/>
      <c r="BV79" s="347"/>
    </row>
    <row r="80" spans="1:86" x14ac:dyDescent="0.25">
      <c r="A80" s="54" t="s">
        <v>57</v>
      </c>
      <c r="B80" s="58" t="s">
        <v>203</v>
      </c>
      <c r="C80" s="55">
        <v>0</v>
      </c>
      <c r="D80" s="55">
        <v>0</v>
      </c>
      <c r="E80" s="55">
        <v>0</v>
      </c>
      <c r="F80" s="55"/>
      <c r="G80" s="55"/>
      <c r="H80" s="55"/>
      <c r="I80" s="55">
        <f t="shared" si="50"/>
        <v>0</v>
      </c>
      <c r="J80" s="55"/>
      <c r="K80" s="55"/>
      <c r="L80" s="55"/>
      <c r="M80" s="55">
        <f t="shared" si="51"/>
        <v>0</v>
      </c>
      <c r="N80" s="54"/>
      <c r="O80" s="55"/>
      <c r="P80" s="55"/>
      <c r="Q80" s="55"/>
      <c r="R80" s="55"/>
      <c r="S80" s="55"/>
      <c r="T80" s="55"/>
      <c r="U80" s="55"/>
      <c r="V80" s="55">
        <f t="shared" si="47"/>
        <v>0</v>
      </c>
      <c r="W80" s="55">
        <f t="shared" si="48"/>
        <v>0</v>
      </c>
      <c r="X80" s="122"/>
      <c r="Z80" s="140" t="e">
        <f t="shared" si="46"/>
        <v>#DIV/0!</v>
      </c>
      <c r="AA80" s="69">
        <f t="shared" si="49"/>
        <v>0</v>
      </c>
      <c r="AB80" s="55"/>
      <c r="AC80" s="55"/>
      <c r="AD80" s="55"/>
      <c r="AE80" s="122"/>
      <c r="AF80" s="55"/>
      <c r="AG80" s="222"/>
      <c r="AH80" s="55">
        <f t="shared" si="44"/>
        <v>0</v>
      </c>
      <c r="AI80" s="63">
        <f t="shared" si="36"/>
        <v>0</v>
      </c>
      <c r="AJ80" s="52"/>
      <c r="AK80" s="69">
        <f t="shared" si="45"/>
        <v>0</v>
      </c>
      <c r="AM80" s="347"/>
      <c r="AN80" s="353"/>
      <c r="AO80" s="353"/>
      <c r="AP80" s="382"/>
      <c r="AR80" s="381">
        <f t="shared" si="14"/>
        <v>0</v>
      </c>
      <c r="AU80" s="69"/>
      <c r="AW80" s="382"/>
      <c r="AX80" s="55"/>
      <c r="AY80" s="69">
        <f t="shared" si="41"/>
        <v>0</v>
      </c>
      <c r="AZ80" s="69">
        <f t="shared" si="27"/>
        <v>0</v>
      </c>
      <c r="BA80" s="258">
        <f t="shared" si="28"/>
        <v>0</v>
      </c>
      <c r="BB80" s="501"/>
      <c r="BE80" s="501"/>
      <c r="BF80" s="221"/>
      <c r="BG80" s="515">
        <f t="shared" si="15"/>
        <v>0</v>
      </c>
      <c r="BI80" s="65"/>
      <c r="BJ80" s="55"/>
      <c r="BK80" s="65"/>
      <c r="BL80" s="69">
        <f t="shared" si="42"/>
        <v>0</v>
      </c>
      <c r="BM80" s="55"/>
      <c r="BN80" s="55"/>
      <c r="BO80" s="55"/>
      <c r="BP80" s="55">
        <f t="shared" si="34"/>
        <v>0</v>
      </c>
      <c r="BQ80" s="69">
        <f t="shared" si="35"/>
        <v>0</v>
      </c>
      <c r="BR80" s="55"/>
      <c r="BS80" s="55"/>
      <c r="BT80" s="55"/>
      <c r="BU80" s="353"/>
      <c r="BV80" s="347"/>
    </row>
    <row r="81" spans="1:75" x14ac:dyDescent="0.25">
      <c r="A81" s="54" t="s">
        <v>58</v>
      </c>
      <c r="B81" s="446" t="s">
        <v>162</v>
      </c>
      <c r="C81" s="55">
        <v>0</v>
      </c>
      <c r="D81" s="55">
        <v>0</v>
      </c>
      <c r="E81" s="55">
        <v>0</v>
      </c>
      <c r="F81" s="55"/>
      <c r="G81" s="55"/>
      <c r="H81" s="55"/>
      <c r="I81" s="55">
        <f t="shared" si="50"/>
        <v>0</v>
      </c>
      <c r="J81" s="55">
        <v>0</v>
      </c>
      <c r="K81" s="55">
        <v>0</v>
      </c>
      <c r="L81" s="55">
        <v>0</v>
      </c>
      <c r="M81" s="55">
        <f t="shared" si="51"/>
        <v>0</v>
      </c>
      <c r="N81" s="54"/>
      <c r="O81" s="55"/>
      <c r="P81" s="55"/>
      <c r="Q81" s="55"/>
      <c r="R81" s="55"/>
      <c r="S81" s="55"/>
      <c r="T81" s="55"/>
      <c r="U81" s="55"/>
      <c r="V81" s="55">
        <f t="shared" si="47"/>
        <v>0</v>
      </c>
      <c r="W81" s="55">
        <f t="shared" si="48"/>
        <v>0</v>
      </c>
      <c r="X81" s="122"/>
      <c r="Z81" s="140" t="e">
        <f t="shared" si="46"/>
        <v>#DIV/0!</v>
      </c>
      <c r="AA81" s="69">
        <f t="shared" si="49"/>
        <v>0</v>
      </c>
      <c r="AB81" s="55"/>
      <c r="AC81" s="55"/>
      <c r="AD81" s="55"/>
      <c r="AE81" s="122"/>
      <c r="AF81" s="55"/>
      <c r="AG81" s="222"/>
      <c r="AH81" s="55">
        <f t="shared" si="44"/>
        <v>0</v>
      </c>
      <c r="AI81" s="63">
        <f t="shared" si="36"/>
        <v>0</v>
      </c>
      <c r="AJ81" s="52"/>
      <c r="AK81" s="69">
        <f t="shared" si="45"/>
        <v>0</v>
      </c>
      <c r="AM81" s="347"/>
      <c r="AN81" s="353"/>
      <c r="AO81" s="353"/>
      <c r="AP81" s="382"/>
      <c r="AR81" s="381">
        <f t="shared" si="14"/>
        <v>0</v>
      </c>
      <c r="AU81" s="69"/>
      <c r="AW81" s="382"/>
      <c r="AX81" s="55"/>
      <c r="AY81" s="69">
        <f t="shared" si="41"/>
        <v>0</v>
      </c>
      <c r="AZ81" s="69">
        <f t="shared" si="27"/>
        <v>0</v>
      </c>
      <c r="BA81" s="258">
        <f t="shared" si="28"/>
        <v>0</v>
      </c>
      <c r="BB81" s="501"/>
      <c r="BE81" s="501"/>
      <c r="BF81" s="221"/>
      <c r="BG81" s="515">
        <f t="shared" si="15"/>
        <v>0</v>
      </c>
      <c r="BI81" s="65"/>
      <c r="BJ81" s="55"/>
      <c r="BK81" s="65"/>
      <c r="BL81" s="69">
        <f t="shared" si="42"/>
        <v>0</v>
      </c>
      <c r="BM81" s="55"/>
      <c r="BN81" s="55"/>
      <c r="BO81" s="55"/>
      <c r="BP81" s="55">
        <f t="shared" si="34"/>
        <v>0</v>
      </c>
      <c r="BQ81" s="69">
        <f t="shared" si="35"/>
        <v>0</v>
      </c>
      <c r="BR81" s="55"/>
      <c r="BS81" s="55"/>
      <c r="BT81" s="55"/>
      <c r="BU81" s="353"/>
      <c r="BV81" s="347"/>
    </row>
    <row r="82" spans="1:75" x14ac:dyDescent="0.25">
      <c r="A82" s="54" t="s">
        <v>59</v>
      </c>
      <c r="B82" s="446" t="s">
        <v>163</v>
      </c>
      <c r="C82" s="55">
        <v>0</v>
      </c>
      <c r="D82" s="55">
        <v>0</v>
      </c>
      <c r="E82" s="55">
        <v>0</v>
      </c>
      <c r="F82" s="55"/>
      <c r="G82" s="55"/>
      <c r="H82" s="55"/>
      <c r="I82" s="55">
        <f t="shared" si="50"/>
        <v>0</v>
      </c>
      <c r="J82" s="55">
        <v>0</v>
      </c>
      <c r="K82" s="55">
        <v>0</v>
      </c>
      <c r="L82" s="55">
        <v>0</v>
      </c>
      <c r="M82" s="55">
        <f t="shared" si="51"/>
        <v>0</v>
      </c>
      <c r="N82" s="54"/>
      <c r="O82" s="55"/>
      <c r="P82" s="55"/>
      <c r="Q82" s="55"/>
      <c r="R82" s="55"/>
      <c r="S82" s="55"/>
      <c r="T82" s="55"/>
      <c r="U82" s="55"/>
      <c r="V82" s="55">
        <f t="shared" si="47"/>
        <v>0</v>
      </c>
      <c r="W82" s="55">
        <f t="shared" si="48"/>
        <v>0</v>
      </c>
      <c r="X82" s="122"/>
      <c r="Z82" s="140" t="e">
        <f t="shared" si="46"/>
        <v>#DIV/0!</v>
      </c>
      <c r="AA82" s="69">
        <f t="shared" si="49"/>
        <v>0</v>
      </c>
      <c r="AB82" s="55"/>
      <c r="AC82" s="55"/>
      <c r="AD82" s="55"/>
      <c r="AE82" s="122"/>
      <c r="AF82" s="55"/>
      <c r="AG82" s="222"/>
      <c r="AH82" s="55">
        <f t="shared" si="44"/>
        <v>0</v>
      </c>
      <c r="AI82" s="63">
        <f t="shared" si="36"/>
        <v>0</v>
      </c>
      <c r="AJ82" s="52"/>
      <c r="AK82" s="69">
        <f t="shared" si="45"/>
        <v>0</v>
      </c>
      <c r="AM82" s="347"/>
      <c r="AN82" s="353"/>
      <c r="AO82" s="353"/>
      <c r="AP82" s="382"/>
      <c r="AR82" s="381">
        <f t="shared" si="14"/>
        <v>0</v>
      </c>
      <c r="AU82" s="69"/>
      <c r="AW82" s="382"/>
      <c r="AX82" s="55"/>
      <c r="AY82" s="69">
        <f t="shared" si="41"/>
        <v>0</v>
      </c>
      <c r="AZ82" s="69">
        <f t="shared" si="27"/>
        <v>0</v>
      </c>
      <c r="BA82" s="258">
        <f t="shared" si="28"/>
        <v>0</v>
      </c>
      <c r="BB82" s="501"/>
      <c r="BE82" s="501"/>
      <c r="BF82" s="221"/>
      <c r="BG82" s="515">
        <f t="shared" si="15"/>
        <v>0</v>
      </c>
      <c r="BI82" s="65"/>
      <c r="BJ82" s="55"/>
      <c r="BK82" s="65"/>
      <c r="BL82" s="69">
        <f t="shared" si="42"/>
        <v>0</v>
      </c>
      <c r="BM82" s="55"/>
      <c r="BN82" s="55"/>
      <c r="BO82" s="55"/>
      <c r="BP82" s="55">
        <f t="shared" si="34"/>
        <v>0</v>
      </c>
      <c r="BQ82" s="69">
        <f t="shared" si="35"/>
        <v>0</v>
      </c>
      <c r="BR82" s="55"/>
      <c r="BS82" s="55"/>
      <c r="BT82" s="55"/>
      <c r="BU82" s="353"/>
      <c r="BV82" s="347"/>
    </row>
    <row r="83" spans="1:75" x14ac:dyDescent="0.25">
      <c r="A83" s="54" t="s">
        <v>259</v>
      </c>
      <c r="B83" s="446" t="s">
        <v>260</v>
      </c>
      <c r="C83" s="55">
        <v>0</v>
      </c>
      <c r="D83" s="55">
        <v>0</v>
      </c>
      <c r="E83" s="55"/>
      <c r="F83" s="55"/>
      <c r="G83" s="55"/>
      <c r="H83" s="55"/>
      <c r="I83" s="55">
        <f t="shared" si="50"/>
        <v>0</v>
      </c>
      <c r="J83" s="55"/>
      <c r="K83" s="55"/>
      <c r="L83" s="55"/>
      <c r="M83" s="55">
        <f t="shared" si="51"/>
        <v>0</v>
      </c>
      <c r="N83" s="54"/>
      <c r="O83" s="55"/>
      <c r="P83" s="55"/>
      <c r="Q83" s="55"/>
      <c r="R83" s="55"/>
      <c r="S83" s="55"/>
      <c r="T83" s="55"/>
      <c r="U83" s="55"/>
      <c r="V83" s="55">
        <f t="shared" si="47"/>
        <v>0</v>
      </c>
      <c r="W83" s="55">
        <f t="shared" si="48"/>
        <v>0</v>
      </c>
      <c r="X83" s="122"/>
      <c r="Z83" s="140" t="e">
        <f t="shared" si="46"/>
        <v>#DIV/0!</v>
      </c>
      <c r="AA83" s="69">
        <f t="shared" si="49"/>
        <v>0</v>
      </c>
      <c r="AB83" s="55"/>
      <c r="AC83" s="55"/>
      <c r="AD83" s="55"/>
      <c r="AE83" s="122"/>
      <c r="AF83" s="55"/>
      <c r="AG83" s="222"/>
      <c r="AH83" s="55">
        <f t="shared" si="44"/>
        <v>0</v>
      </c>
      <c r="AI83" s="63">
        <f t="shared" si="36"/>
        <v>0</v>
      </c>
      <c r="AJ83" s="52"/>
      <c r="AK83" s="69">
        <f t="shared" si="45"/>
        <v>0</v>
      </c>
      <c r="AM83" s="347"/>
      <c r="AN83" s="353"/>
      <c r="AO83" s="353"/>
      <c r="AP83" s="382"/>
      <c r="AR83" s="381">
        <f t="shared" si="14"/>
        <v>0</v>
      </c>
      <c r="AU83" s="69"/>
      <c r="AW83" s="382"/>
      <c r="AX83" s="55"/>
      <c r="AY83" s="69">
        <f t="shared" si="41"/>
        <v>0</v>
      </c>
      <c r="AZ83" s="69">
        <f t="shared" si="27"/>
        <v>0</v>
      </c>
      <c r="BA83" s="258">
        <f t="shared" si="28"/>
        <v>0</v>
      </c>
      <c r="BB83" s="501"/>
      <c r="BE83" s="501"/>
      <c r="BF83" s="221"/>
      <c r="BG83" s="515">
        <f t="shared" si="15"/>
        <v>0</v>
      </c>
      <c r="BI83" s="65"/>
      <c r="BJ83" s="55"/>
      <c r="BK83" s="65"/>
      <c r="BL83" s="69">
        <f t="shared" si="42"/>
        <v>0</v>
      </c>
      <c r="BM83" s="55"/>
      <c r="BN83" s="55"/>
      <c r="BO83" s="55"/>
      <c r="BP83" s="55">
        <f t="shared" si="34"/>
        <v>0</v>
      </c>
      <c r="BQ83" s="69">
        <f t="shared" si="35"/>
        <v>0</v>
      </c>
      <c r="BR83" s="55"/>
      <c r="BS83" s="55"/>
      <c r="BT83" s="55"/>
      <c r="BU83" s="353"/>
      <c r="BV83" s="347"/>
    </row>
    <row r="84" spans="1:75" x14ac:dyDescent="0.25">
      <c r="A84" s="54" t="s">
        <v>60</v>
      </c>
      <c r="B84" s="446" t="s">
        <v>164</v>
      </c>
      <c r="C84" s="55">
        <v>0</v>
      </c>
      <c r="D84" s="55">
        <v>0</v>
      </c>
      <c r="E84" s="55">
        <v>0</v>
      </c>
      <c r="F84" s="55"/>
      <c r="G84" s="55"/>
      <c r="H84" s="55"/>
      <c r="I84" s="55">
        <f t="shared" si="50"/>
        <v>0</v>
      </c>
      <c r="J84" s="55">
        <v>0</v>
      </c>
      <c r="K84" s="55">
        <v>0</v>
      </c>
      <c r="L84" s="55">
        <v>0</v>
      </c>
      <c r="M84" s="55">
        <f t="shared" si="51"/>
        <v>0</v>
      </c>
      <c r="N84" s="54"/>
      <c r="O84" s="55"/>
      <c r="P84" s="55"/>
      <c r="Q84" s="55"/>
      <c r="R84" s="55"/>
      <c r="S84" s="55"/>
      <c r="T84" s="55"/>
      <c r="U84" s="55"/>
      <c r="V84" s="55">
        <f t="shared" si="47"/>
        <v>0</v>
      </c>
      <c r="W84" s="55">
        <f t="shared" si="48"/>
        <v>0</v>
      </c>
      <c r="X84" s="122"/>
      <c r="Z84" s="140" t="e">
        <f t="shared" si="46"/>
        <v>#DIV/0!</v>
      </c>
      <c r="AA84" s="69">
        <f t="shared" si="49"/>
        <v>0</v>
      </c>
      <c r="AB84" s="55"/>
      <c r="AC84" s="55"/>
      <c r="AD84" s="55"/>
      <c r="AE84" s="122"/>
      <c r="AF84" s="55"/>
      <c r="AG84" s="222"/>
      <c r="AH84" s="55">
        <f t="shared" si="44"/>
        <v>0</v>
      </c>
      <c r="AI84" s="63">
        <f t="shared" si="36"/>
        <v>0</v>
      </c>
      <c r="AJ84" s="52"/>
      <c r="AK84" s="69">
        <f t="shared" si="45"/>
        <v>0</v>
      </c>
      <c r="AM84" s="347"/>
      <c r="AN84" s="353"/>
      <c r="AO84" s="353"/>
      <c r="AP84" s="382"/>
      <c r="AR84" s="381">
        <f t="shared" si="14"/>
        <v>0</v>
      </c>
      <c r="AU84" s="69"/>
      <c r="AW84" s="382"/>
      <c r="AX84" s="55"/>
      <c r="AY84" s="69">
        <f t="shared" si="41"/>
        <v>0</v>
      </c>
      <c r="AZ84" s="69">
        <f t="shared" si="27"/>
        <v>0</v>
      </c>
      <c r="BA84" s="258">
        <f t="shared" si="28"/>
        <v>0</v>
      </c>
      <c r="BB84" s="501"/>
      <c r="BE84" s="501"/>
      <c r="BF84" s="221"/>
      <c r="BG84" s="515">
        <f t="shared" si="15"/>
        <v>0</v>
      </c>
      <c r="BI84" s="65"/>
      <c r="BJ84" s="55"/>
      <c r="BK84" s="65"/>
      <c r="BL84" s="69">
        <f t="shared" si="42"/>
        <v>0</v>
      </c>
      <c r="BM84" s="55"/>
      <c r="BN84" s="55"/>
      <c r="BO84" s="55"/>
      <c r="BP84" s="55">
        <f t="shared" si="34"/>
        <v>0</v>
      </c>
      <c r="BQ84" s="69">
        <f t="shared" si="35"/>
        <v>0</v>
      </c>
      <c r="BR84" s="55"/>
      <c r="BS84" s="55"/>
      <c r="BT84" s="55"/>
      <c r="BU84" s="353"/>
      <c r="BV84" s="347"/>
    </row>
    <row r="85" spans="1:75" x14ac:dyDescent="0.25">
      <c r="A85" s="54" t="s">
        <v>61</v>
      </c>
      <c r="B85" s="446" t="s">
        <v>165</v>
      </c>
      <c r="C85" s="55">
        <v>0</v>
      </c>
      <c r="D85" s="55">
        <v>0</v>
      </c>
      <c r="E85" s="55">
        <v>0</v>
      </c>
      <c r="F85" s="55"/>
      <c r="G85" s="55"/>
      <c r="H85" s="55"/>
      <c r="I85" s="55">
        <f t="shared" si="50"/>
        <v>0</v>
      </c>
      <c r="J85" s="55">
        <v>0</v>
      </c>
      <c r="K85" s="55">
        <v>0</v>
      </c>
      <c r="L85" s="55">
        <v>0</v>
      </c>
      <c r="M85" s="55">
        <f t="shared" si="51"/>
        <v>0</v>
      </c>
      <c r="N85" s="54"/>
      <c r="O85" s="55"/>
      <c r="P85" s="55"/>
      <c r="Q85" s="55"/>
      <c r="R85" s="55"/>
      <c r="S85" s="55"/>
      <c r="T85" s="55"/>
      <c r="U85" s="55"/>
      <c r="V85" s="55">
        <f t="shared" si="47"/>
        <v>0</v>
      </c>
      <c r="W85" s="55">
        <f t="shared" si="48"/>
        <v>0</v>
      </c>
      <c r="X85" s="122"/>
      <c r="Z85" s="140" t="e">
        <f t="shared" si="46"/>
        <v>#DIV/0!</v>
      </c>
      <c r="AA85" s="69">
        <f t="shared" si="49"/>
        <v>0</v>
      </c>
      <c r="AB85" s="55"/>
      <c r="AC85" s="55"/>
      <c r="AD85" s="55"/>
      <c r="AE85" s="122"/>
      <c r="AF85" s="55"/>
      <c r="AG85" s="222"/>
      <c r="AH85" s="55">
        <f t="shared" si="44"/>
        <v>0</v>
      </c>
      <c r="AI85" s="63">
        <f t="shared" si="36"/>
        <v>0</v>
      </c>
      <c r="AJ85" s="52"/>
      <c r="AK85" s="69">
        <f t="shared" si="45"/>
        <v>0</v>
      </c>
      <c r="AM85" s="347"/>
      <c r="AN85" s="353"/>
      <c r="AO85" s="353"/>
      <c r="AP85" s="382"/>
      <c r="AR85" s="381">
        <f t="shared" si="14"/>
        <v>0</v>
      </c>
      <c r="AU85" s="69"/>
      <c r="AW85" s="382"/>
      <c r="AX85" s="55"/>
      <c r="AY85" s="69">
        <f t="shared" si="41"/>
        <v>0</v>
      </c>
      <c r="AZ85" s="69">
        <f t="shared" si="27"/>
        <v>0</v>
      </c>
      <c r="BA85" s="258">
        <f t="shared" si="28"/>
        <v>0</v>
      </c>
      <c r="BB85" s="501"/>
      <c r="BE85" s="501"/>
      <c r="BF85" s="221"/>
      <c r="BG85" s="515">
        <f t="shared" si="15"/>
        <v>0</v>
      </c>
      <c r="BI85" s="65"/>
      <c r="BJ85" s="55"/>
      <c r="BK85" s="65"/>
      <c r="BL85" s="69">
        <f t="shared" si="42"/>
        <v>0</v>
      </c>
      <c r="BM85" s="55"/>
      <c r="BN85" s="55"/>
      <c r="BO85" s="55"/>
      <c r="BP85" s="55">
        <f t="shared" si="34"/>
        <v>0</v>
      </c>
      <c r="BQ85" s="69">
        <f t="shared" si="35"/>
        <v>0</v>
      </c>
      <c r="BR85" s="55"/>
      <c r="BS85" s="55"/>
      <c r="BT85" s="55"/>
      <c r="BU85" s="353"/>
      <c r="BV85" s="347"/>
    </row>
    <row r="86" spans="1:75" x14ac:dyDescent="0.25">
      <c r="A86" s="54" t="s">
        <v>62</v>
      </c>
      <c r="B86" s="446" t="s">
        <v>166</v>
      </c>
      <c r="C86" s="55">
        <v>0</v>
      </c>
      <c r="D86" s="55">
        <v>0</v>
      </c>
      <c r="E86" s="55">
        <v>0</v>
      </c>
      <c r="F86" s="55"/>
      <c r="G86" s="55"/>
      <c r="H86" s="55"/>
      <c r="I86" s="55">
        <f t="shared" si="50"/>
        <v>0</v>
      </c>
      <c r="J86" s="55">
        <v>0</v>
      </c>
      <c r="K86" s="55">
        <v>0</v>
      </c>
      <c r="L86" s="55">
        <v>0</v>
      </c>
      <c r="M86" s="55">
        <f t="shared" si="51"/>
        <v>0</v>
      </c>
      <c r="N86" s="54"/>
      <c r="O86" s="55"/>
      <c r="P86" s="55"/>
      <c r="Q86" s="55"/>
      <c r="R86" s="55"/>
      <c r="S86" s="55"/>
      <c r="T86" s="55"/>
      <c r="U86" s="55"/>
      <c r="V86" s="55">
        <f t="shared" si="47"/>
        <v>0</v>
      </c>
      <c r="W86" s="55">
        <f t="shared" si="48"/>
        <v>0</v>
      </c>
      <c r="X86" s="122"/>
      <c r="Z86" s="140" t="e">
        <f t="shared" si="46"/>
        <v>#DIV/0!</v>
      </c>
      <c r="AA86" s="69">
        <f t="shared" si="49"/>
        <v>0</v>
      </c>
      <c r="AB86" s="55"/>
      <c r="AC86" s="55"/>
      <c r="AD86" s="55"/>
      <c r="AE86" s="122"/>
      <c r="AF86" s="55"/>
      <c r="AG86" s="222"/>
      <c r="AH86" s="55">
        <f t="shared" si="44"/>
        <v>0</v>
      </c>
      <c r="AI86" s="63">
        <f t="shared" si="36"/>
        <v>0</v>
      </c>
      <c r="AJ86" s="52"/>
      <c r="AK86" s="69">
        <f t="shared" si="45"/>
        <v>0</v>
      </c>
      <c r="AM86" s="347"/>
      <c r="AN86" s="353"/>
      <c r="AO86" s="353"/>
      <c r="AP86" s="382"/>
      <c r="AR86" s="381">
        <f t="shared" si="14"/>
        <v>0</v>
      </c>
      <c r="AU86" s="69"/>
      <c r="AW86" s="382"/>
      <c r="AX86" s="55"/>
      <c r="AY86" s="69">
        <f t="shared" si="41"/>
        <v>0</v>
      </c>
      <c r="AZ86" s="69">
        <f t="shared" si="27"/>
        <v>0</v>
      </c>
      <c r="BA86" s="258">
        <f t="shared" si="28"/>
        <v>0</v>
      </c>
      <c r="BB86" s="501"/>
      <c r="BE86" s="501"/>
      <c r="BF86" s="221"/>
      <c r="BG86" s="515">
        <f t="shared" si="15"/>
        <v>0</v>
      </c>
      <c r="BI86" s="65"/>
      <c r="BJ86" s="55"/>
      <c r="BK86" s="65"/>
      <c r="BL86" s="69">
        <f t="shared" si="42"/>
        <v>0</v>
      </c>
      <c r="BM86" s="55"/>
      <c r="BN86" s="55"/>
      <c r="BO86" s="55"/>
      <c r="BP86" s="55">
        <f t="shared" si="34"/>
        <v>0</v>
      </c>
      <c r="BQ86" s="69">
        <f t="shared" si="35"/>
        <v>0</v>
      </c>
      <c r="BR86" s="55"/>
      <c r="BS86" s="55"/>
      <c r="BT86" s="55"/>
      <c r="BU86" s="353"/>
      <c r="BV86" s="347"/>
    </row>
    <row r="87" spans="1:75" x14ac:dyDescent="0.25">
      <c r="A87" s="54" t="s">
        <v>261</v>
      </c>
      <c r="B87" s="446" t="s">
        <v>262</v>
      </c>
      <c r="C87" s="55"/>
      <c r="D87" s="55"/>
      <c r="E87" s="55"/>
      <c r="F87" s="55"/>
      <c r="G87" s="55"/>
      <c r="H87" s="55"/>
      <c r="I87" s="55">
        <f t="shared" si="50"/>
        <v>0</v>
      </c>
      <c r="J87" s="55"/>
      <c r="K87" s="55"/>
      <c r="L87" s="55"/>
      <c r="M87" s="55">
        <f t="shared" si="51"/>
        <v>0</v>
      </c>
      <c r="N87" s="54"/>
      <c r="O87" s="55"/>
      <c r="P87" s="55"/>
      <c r="Q87" s="55"/>
      <c r="R87" s="55"/>
      <c r="S87" s="55">
        <v>300000</v>
      </c>
      <c r="T87" s="55">
        <v>300000</v>
      </c>
      <c r="U87" s="55"/>
      <c r="V87" s="55">
        <f t="shared" si="47"/>
        <v>0</v>
      </c>
      <c r="W87" s="55">
        <f t="shared" si="48"/>
        <v>0</v>
      </c>
      <c r="X87" s="122"/>
      <c r="Z87" s="140">
        <f t="shared" si="46"/>
        <v>0</v>
      </c>
      <c r="AA87" s="69">
        <f t="shared" si="49"/>
        <v>0</v>
      </c>
      <c r="AB87" s="55"/>
      <c r="AC87" s="55"/>
      <c r="AD87" s="55"/>
      <c r="AE87" s="122"/>
      <c r="AF87" s="55"/>
      <c r="AG87" s="222"/>
      <c r="AH87" s="55">
        <f t="shared" si="44"/>
        <v>0</v>
      </c>
      <c r="AI87" s="63">
        <f t="shared" si="36"/>
        <v>0</v>
      </c>
      <c r="AJ87" s="52"/>
      <c r="AK87" s="69">
        <f t="shared" si="45"/>
        <v>0</v>
      </c>
      <c r="AM87" s="347"/>
      <c r="AN87" s="353"/>
      <c r="AO87" s="353"/>
      <c r="AP87" s="382"/>
      <c r="AR87" s="381">
        <f t="shared" ref="AR87:AR101" si="52">AP87-AQ87</f>
        <v>0</v>
      </c>
      <c r="AU87" s="69"/>
      <c r="AW87" s="382"/>
      <c r="AX87" s="55"/>
      <c r="AY87" s="69">
        <f t="shared" si="41"/>
        <v>0</v>
      </c>
      <c r="AZ87" s="69">
        <f t="shared" si="27"/>
        <v>0</v>
      </c>
      <c r="BA87" s="258">
        <f t="shared" si="28"/>
        <v>0</v>
      </c>
      <c r="BB87" s="501"/>
      <c r="BE87" s="501"/>
      <c r="BF87" s="221"/>
      <c r="BG87" s="515">
        <f t="shared" ref="BG87:BG101" si="53">BF87/10*12</f>
        <v>0</v>
      </c>
      <c r="BI87" s="65"/>
      <c r="BJ87" s="55"/>
      <c r="BK87" s="65"/>
      <c r="BL87" s="69">
        <f t="shared" si="42"/>
        <v>0</v>
      </c>
      <c r="BM87" s="55"/>
      <c r="BN87" s="55"/>
      <c r="BO87" s="55"/>
      <c r="BP87" s="55">
        <f t="shared" si="34"/>
        <v>0</v>
      </c>
      <c r="BQ87" s="69">
        <f t="shared" si="35"/>
        <v>0</v>
      </c>
      <c r="BR87" s="55"/>
      <c r="BS87" s="55"/>
      <c r="BT87" s="55"/>
      <c r="BU87" s="353"/>
      <c r="BV87" s="347"/>
    </row>
    <row r="88" spans="1:75" x14ac:dyDescent="0.25">
      <c r="A88" s="54" t="s">
        <v>63</v>
      </c>
      <c r="B88" s="446" t="s">
        <v>167</v>
      </c>
      <c r="C88" s="55">
        <v>0</v>
      </c>
      <c r="D88" s="55">
        <v>0</v>
      </c>
      <c r="E88" s="55">
        <v>0</v>
      </c>
      <c r="F88" s="55"/>
      <c r="G88" s="55"/>
      <c r="H88" s="55"/>
      <c r="I88" s="55">
        <f t="shared" si="50"/>
        <v>0</v>
      </c>
      <c r="J88" s="55">
        <v>0</v>
      </c>
      <c r="K88" s="55">
        <v>0</v>
      </c>
      <c r="L88" s="55">
        <v>0</v>
      </c>
      <c r="M88" s="55">
        <f t="shared" si="51"/>
        <v>0</v>
      </c>
      <c r="N88" s="54"/>
      <c r="O88" s="55"/>
      <c r="P88" s="55"/>
      <c r="Q88" s="55"/>
      <c r="R88" s="55"/>
      <c r="S88" s="55"/>
      <c r="T88" s="55"/>
      <c r="U88" s="55"/>
      <c r="V88" s="55">
        <f t="shared" si="47"/>
        <v>0</v>
      </c>
      <c r="W88" s="55">
        <f t="shared" si="48"/>
        <v>0</v>
      </c>
      <c r="X88" s="122"/>
      <c r="Z88" s="140" t="e">
        <f t="shared" si="46"/>
        <v>#DIV/0!</v>
      </c>
      <c r="AA88" s="69">
        <f t="shared" si="49"/>
        <v>0</v>
      </c>
      <c r="AB88" s="55"/>
      <c r="AC88" s="55"/>
      <c r="AD88" s="55"/>
      <c r="AE88" s="122"/>
      <c r="AF88" s="55"/>
      <c r="AG88" s="222"/>
      <c r="AH88" s="55">
        <f t="shared" si="44"/>
        <v>0</v>
      </c>
      <c r="AI88" s="63">
        <f t="shared" si="36"/>
        <v>0</v>
      </c>
      <c r="AJ88" s="52"/>
      <c r="AK88" s="69">
        <f t="shared" si="45"/>
        <v>0</v>
      </c>
      <c r="AM88" s="347"/>
      <c r="AN88" s="353"/>
      <c r="AO88" s="353"/>
      <c r="AP88" s="382"/>
      <c r="AR88" s="381">
        <f t="shared" si="52"/>
        <v>0</v>
      </c>
      <c r="AU88" s="69"/>
      <c r="AW88" s="382"/>
      <c r="AX88" s="55"/>
      <c r="AY88" s="69">
        <f t="shared" si="41"/>
        <v>0</v>
      </c>
      <c r="AZ88" s="69">
        <f t="shared" si="27"/>
        <v>0</v>
      </c>
      <c r="BA88" s="258">
        <f t="shared" si="28"/>
        <v>0</v>
      </c>
      <c r="BB88" s="501"/>
      <c r="BE88" s="501"/>
      <c r="BF88" s="221"/>
      <c r="BG88" s="515">
        <f t="shared" si="53"/>
        <v>0</v>
      </c>
      <c r="BI88" s="65"/>
      <c r="BJ88" s="55"/>
      <c r="BK88" s="65"/>
      <c r="BL88" s="69">
        <f t="shared" si="42"/>
        <v>0</v>
      </c>
      <c r="BM88" s="55"/>
      <c r="BN88" s="55"/>
      <c r="BO88" s="55"/>
      <c r="BP88" s="55">
        <f t="shared" si="34"/>
        <v>0</v>
      </c>
      <c r="BQ88" s="69">
        <f t="shared" si="35"/>
        <v>0</v>
      </c>
      <c r="BR88" s="55"/>
      <c r="BS88" s="55"/>
      <c r="BT88" s="55"/>
      <c r="BU88" s="353"/>
      <c r="BV88" s="347"/>
    </row>
    <row r="89" spans="1:75" x14ac:dyDescent="0.25">
      <c r="A89" s="54" t="s">
        <v>64</v>
      </c>
      <c r="B89" s="58" t="s">
        <v>204</v>
      </c>
      <c r="C89" s="55">
        <v>0</v>
      </c>
      <c r="D89" s="55">
        <v>0</v>
      </c>
      <c r="E89" s="55">
        <v>0</v>
      </c>
      <c r="F89" s="55">
        <v>50000</v>
      </c>
      <c r="G89" s="55">
        <v>50000</v>
      </c>
      <c r="H89" s="55">
        <v>50000</v>
      </c>
      <c r="I89" s="55">
        <f t="shared" si="50"/>
        <v>54545.454545454544</v>
      </c>
      <c r="J89" s="55"/>
      <c r="K89" s="55"/>
      <c r="L89" s="55"/>
      <c r="M89" s="55">
        <f t="shared" si="51"/>
        <v>0</v>
      </c>
      <c r="N89" s="54"/>
      <c r="O89" s="55"/>
      <c r="P89" s="55"/>
      <c r="Q89" s="55"/>
      <c r="R89" s="55"/>
      <c r="S89" s="55"/>
      <c r="T89" s="55"/>
      <c r="U89" s="55"/>
      <c r="V89" s="55">
        <f t="shared" si="47"/>
        <v>0</v>
      </c>
      <c r="W89" s="55">
        <f t="shared" si="48"/>
        <v>0</v>
      </c>
      <c r="X89" s="122"/>
      <c r="Z89" s="140" t="e">
        <f t="shared" si="46"/>
        <v>#DIV/0!</v>
      </c>
      <c r="AA89" s="69">
        <f t="shared" si="49"/>
        <v>0</v>
      </c>
      <c r="AB89" s="55"/>
      <c r="AC89" s="55"/>
      <c r="AD89" s="55"/>
      <c r="AE89" s="122"/>
      <c r="AF89" s="55"/>
      <c r="AG89" s="222"/>
      <c r="AH89" s="55">
        <f t="shared" si="44"/>
        <v>0</v>
      </c>
      <c r="AI89" s="63">
        <f t="shared" si="36"/>
        <v>0</v>
      </c>
      <c r="AJ89" s="52"/>
      <c r="AK89" s="69">
        <f t="shared" si="45"/>
        <v>0</v>
      </c>
      <c r="AM89" s="347"/>
      <c r="AN89" s="353"/>
      <c r="AO89" s="353"/>
      <c r="AP89" s="382"/>
      <c r="AR89" s="381">
        <f t="shared" si="52"/>
        <v>0</v>
      </c>
      <c r="AU89" s="69"/>
      <c r="AW89" s="382"/>
      <c r="AX89" s="55"/>
      <c r="AY89" s="69">
        <f t="shared" si="41"/>
        <v>0</v>
      </c>
      <c r="AZ89" s="69">
        <f t="shared" si="27"/>
        <v>0</v>
      </c>
      <c r="BA89" s="258">
        <f t="shared" si="28"/>
        <v>0</v>
      </c>
      <c r="BB89" s="501"/>
      <c r="BE89" s="501"/>
      <c r="BF89" s="221"/>
      <c r="BG89" s="515">
        <f t="shared" si="53"/>
        <v>0</v>
      </c>
      <c r="BI89" s="65"/>
      <c r="BJ89" s="55"/>
      <c r="BK89" s="65"/>
      <c r="BL89" s="607">
        <f t="shared" si="42"/>
        <v>0</v>
      </c>
      <c r="BM89" s="55"/>
      <c r="BN89" s="55"/>
      <c r="BO89" s="55"/>
      <c r="BP89" s="55">
        <f t="shared" si="34"/>
        <v>0</v>
      </c>
      <c r="BQ89" s="69">
        <f t="shared" si="35"/>
        <v>0</v>
      </c>
      <c r="BR89" s="55"/>
      <c r="BS89" s="55"/>
      <c r="BT89" s="55"/>
      <c r="BU89" s="800"/>
      <c r="BV89" s="347"/>
    </row>
    <row r="90" spans="1:75" x14ac:dyDescent="0.25">
      <c r="A90" s="54" t="s">
        <v>65</v>
      </c>
      <c r="B90" s="446" t="s">
        <v>168</v>
      </c>
      <c r="C90" s="55">
        <v>1968000</v>
      </c>
      <c r="D90" s="55">
        <v>363255</v>
      </c>
      <c r="E90" s="55">
        <v>2608000</v>
      </c>
      <c r="F90" s="55">
        <v>0</v>
      </c>
      <c r="G90" s="55">
        <v>831707</v>
      </c>
      <c r="H90" s="55">
        <v>0</v>
      </c>
      <c r="I90" s="55">
        <f t="shared" si="50"/>
        <v>0</v>
      </c>
      <c r="J90" s="55">
        <v>530200</v>
      </c>
      <c r="K90" s="55">
        <v>530200</v>
      </c>
      <c r="L90" s="64">
        <f>beruházások!F6/1.27</f>
        <v>0</v>
      </c>
      <c r="M90" s="55">
        <f t="shared" si="51"/>
        <v>0</v>
      </c>
      <c r="N90" s="54"/>
      <c r="O90" s="55">
        <v>667360</v>
      </c>
      <c r="P90" s="55">
        <v>667360</v>
      </c>
      <c r="Q90" s="55">
        <v>667360</v>
      </c>
      <c r="R90" s="55"/>
      <c r="S90" s="55">
        <v>667360</v>
      </c>
      <c r="T90" s="55">
        <v>667360</v>
      </c>
      <c r="U90" s="55"/>
      <c r="V90" s="55">
        <f t="shared" si="47"/>
        <v>0</v>
      </c>
      <c r="W90" s="55">
        <f t="shared" si="48"/>
        <v>0</v>
      </c>
      <c r="X90" s="122"/>
      <c r="Z90" s="140">
        <f t="shared" si="46"/>
        <v>0</v>
      </c>
      <c r="AA90" s="69">
        <f>beruházások!R14</f>
        <v>0</v>
      </c>
      <c r="AB90" s="55">
        <v>117425</v>
      </c>
      <c r="AC90" s="55">
        <v>434205</v>
      </c>
      <c r="AD90" s="55">
        <v>434205</v>
      </c>
      <c r="AE90" s="122" t="e">
        <f>(AD90+AD92+AD93)/AA90*100</f>
        <v>#DIV/0!</v>
      </c>
      <c r="AF90" s="55">
        <v>1968504</v>
      </c>
      <c r="AG90" s="222">
        <v>434205</v>
      </c>
      <c r="AH90" s="55">
        <f t="shared" si="44"/>
        <v>521046</v>
      </c>
      <c r="AJ90" s="52"/>
      <c r="AK90" s="69">
        <f t="shared" si="45"/>
        <v>0</v>
      </c>
      <c r="AM90" s="347">
        <v>434205</v>
      </c>
      <c r="AN90" s="353"/>
      <c r="AO90" s="353"/>
      <c r="AP90" s="382">
        <v>3137342</v>
      </c>
      <c r="AQ90" s="382">
        <v>3130814</v>
      </c>
      <c r="AR90" s="381">
        <f t="shared" si="52"/>
        <v>6528</v>
      </c>
      <c r="AS90" s="54">
        <f t="shared" ref="AS90:AS107" si="54">AQ90/AP90*100</f>
        <v>99.791925776660634</v>
      </c>
      <c r="AT90" s="55">
        <v>3130814</v>
      </c>
      <c r="AU90" s="69">
        <f>AP90-AT90</f>
        <v>6528</v>
      </c>
      <c r="AV90" s="54">
        <f>AU90/AP90*100</f>
        <v>0.20807422333937453</v>
      </c>
      <c r="AW90" s="382"/>
      <c r="AX90" s="55"/>
      <c r="AY90" s="69">
        <f t="shared" si="41"/>
        <v>0</v>
      </c>
      <c r="AZ90" s="69">
        <f t="shared" si="27"/>
        <v>0</v>
      </c>
      <c r="BA90" s="258">
        <f t="shared" si="28"/>
        <v>0</v>
      </c>
      <c r="BB90" s="501"/>
      <c r="BE90" s="501"/>
      <c r="BF90" s="221"/>
      <c r="BG90" s="515">
        <f t="shared" si="53"/>
        <v>0</v>
      </c>
      <c r="BH90" s="65">
        <v>3188976</v>
      </c>
      <c r="BI90" s="65">
        <v>2992126</v>
      </c>
      <c r="BJ90" s="55">
        <v>0</v>
      </c>
      <c r="BK90" s="65"/>
      <c r="BL90" s="607">
        <f t="shared" si="42"/>
        <v>0</v>
      </c>
      <c r="BM90" s="55"/>
      <c r="BN90" s="55"/>
      <c r="BO90" s="55"/>
      <c r="BP90" s="55">
        <f t="shared" si="34"/>
        <v>0</v>
      </c>
      <c r="BQ90" s="69">
        <f t="shared" si="35"/>
        <v>0</v>
      </c>
      <c r="BR90" s="55">
        <v>2362205</v>
      </c>
      <c r="BS90" s="55">
        <v>2362205</v>
      </c>
      <c r="BT90" s="66">
        <f>beruházások!AI15/1.27</f>
        <v>1500000</v>
      </c>
      <c r="BU90" s="800"/>
      <c r="BV90" s="347"/>
    </row>
    <row r="91" spans="1:75" x14ac:dyDescent="0.25">
      <c r="A91" s="54" t="s">
        <v>67</v>
      </c>
      <c r="B91" s="446" t="s">
        <v>169</v>
      </c>
      <c r="C91" s="55">
        <v>0</v>
      </c>
      <c r="D91" s="55">
        <v>0</v>
      </c>
      <c r="E91" s="55">
        <v>0</v>
      </c>
      <c r="F91" s="55">
        <v>854137</v>
      </c>
      <c r="G91" s="55">
        <v>854137</v>
      </c>
      <c r="H91" s="55">
        <v>854137</v>
      </c>
      <c r="I91" s="55">
        <f t="shared" si="50"/>
        <v>931785.81818181812</v>
      </c>
      <c r="J91" s="55">
        <v>314960</v>
      </c>
      <c r="K91" s="55">
        <v>314960</v>
      </c>
      <c r="L91" s="64">
        <v>314960</v>
      </c>
      <c r="M91" s="55">
        <f t="shared" si="51"/>
        <v>33.801759358666509</v>
      </c>
      <c r="N91" s="54"/>
      <c r="O91" s="55">
        <v>354960</v>
      </c>
      <c r="P91" s="55">
        <v>341484</v>
      </c>
      <c r="Q91" s="55">
        <v>341484</v>
      </c>
      <c r="R91" s="55"/>
      <c r="S91" s="55">
        <v>354960</v>
      </c>
      <c r="T91" s="55">
        <v>341484</v>
      </c>
      <c r="U91" s="55"/>
      <c r="V91" s="55">
        <f t="shared" si="47"/>
        <v>0</v>
      </c>
      <c r="W91" s="55">
        <f t="shared" si="48"/>
        <v>0</v>
      </c>
      <c r="X91" s="122"/>
      <c r="Z91" s="140">
        <f t="shared" si="46"/>
        <v>0</v>
      </c>
      <c r="AA91" s="69">
        <f t="shared" si="49"/>
        <v>0</v>
      </c>
      <c r="AB91" s="55"/>
      <c r="AC91" s="55"/>
      <c r="AD91" s="55"/>
      <c r="AE91" s="122"/>
      <c r="AF91" s="55"/>
      <c r="AG91" s="222"/>
      <c r="AH91" s="55">
        <f t="shared" si="44"/>
        <v>0</v>
      </c>
      <c r="AI91" s="63">
        <f t="shared" si="36"/>
        <v>0</v>
      </c>
      <c r="AJ91" s="52"/>
      <c r="AK91" s="69">
        <f t="shared" si="45"/>
        <v>0</v>
      </c>
      <c r="AM91" s="347"/>
      <c r="AN91" s="353"/>
      <c r="AO91" s="353"/>
      <c r="AP91" s="382"/>
      <c r="AR91" s="381">
        <f t="shared" si="52"/>
        <v>0</v>
      </c>
      <c r="AU91" s="69"/>
      <c r="AW91" s="382"/>
      <c r="AX91" s="55"/>
      <c r="AY91" s="69">
        <f t="shared" si="41"/>
        <v>0</v>
      </c>
      <c r="AZ91" s="69">
        <f t="shared" si="27"/>
        <v>0</v>
      </c>
      <c r="BA91" s="258">
        <f t="shared" si="28"/>
        <v>0</v>
      </c>
      <c r="BB91" s="501"/>
      <c r="BE91" s="501"/>
      <c r="BF91" s="221"/>
      <c r="BG91" s="515">
        <f t="shared" si="53"/>
        <v>0</v>
      </c>
      <c r="BI91" s="65"/>
      <c r="BJ91" s="55">
        <v>0</v>
      </c>
      <c r="BK91" s="65"/>
      <c r="BL91" s="607">
        <f t="shared" si="42"/>
        <v>0</v>
      </c>
      <c r="BM91" s="55"/>
      <c r="BN91" s="55"/>
      <c r="BO91" s="55"/>
      <c r="BP91" s="55">
        <f t="shared" si="34"/>
        <v>0</v>
      </c>
      <c r="BQ91" s="69">
        <f t="shared" si="35"/>
        <v>0</v>
      </c>
      <c r="BR91" s="55"/>
      <c r="BS91" s="55"/>
      <c r="BT91" s="55"/>
      <c r="BU91" s="800"/>
      <c r="BV91" s="347">
        <v>2200000</v>
      </c>
      <c r="BW91" t="s">
        <v>784</v>
      </c>
    </row>
    <row r="92" spans="1:75" x14ac:dyDescent="0.25">
      <c r="A92" s="54" t="s">
        <v>68</v>
      </c>
      <c r="B92" s="446" t="s">
        <v>170</v>
      </c>
      <c r="C92" s="55">
        <v>0</v>
      </c>
      <c r="D92" s="55">
        <v>781718</v>
      </c>
      <c r="E92" s="55">
        <v>1309000</v>
      </c>
      <c r="F92" s="55">
        <v>1537959</v>
      </c>
      <c r="G92" s="55">
        <v>1537959</v>
      </c>
      <c r="H92" s="55">
        <v>1537959</v>
      </c>
      <c r="I92" s="55">
        <f t="shared" si="50"/>
        <v>1677773.4545454546</v>
      </c>
      <c r="J92" s="55">
        <v>0</v>
      </c>
      <c r="K92" s="55">
        <v>0</v>
      </c>
      <c r="L92" s="64">
        <v>0</v>
      </c>
      <c r="M92" s="55">
        <f t="shared" si="51"/>
        <v>0</v>
      </c>
      <c r="N92" s="54"/>
      <c r="O92" s="55">
        <v>360000</v>
      </c>
      <c r="P92" s="55">
        <v>349742</v>
      </c>
      <c r="Q92" s="55">
        <v>375642</v>
      </c>
      <c r="R92" s="55"/>
      <c r="S92" s="55">
        <v>1153920</v>
      </c>
      <c r="T92" s="55">
        <v>1144562</v>
      </c>
      <c r="U92" s="55"/>
      <c r="V92" s="55">
        <f t="shared" si="47"/>
        <v>0</v>
      </c>
      <c r="W92" s="55">
        <f t="shared" si="48"/>
        <v>0</v>
      </c>
      <c r="X92" s="122"/>
      <c r="Z92" s="140">
        <f t="shared" si="46"/>
        <v>0</v>
      </c>
      <c r="AA92" s="69">
        <f t="shared" si="49"/>
        <v>0</v>
      </c>
      <c r="AB92" s="55"/>
      <c r="AC92" s="55"/>
      <c r="AD92" s="55">
        <v>469122</v>
      </c>
      <c r="AE92" s="122"/>
      <c r="AF92" s="55">
        <v>500000</v>
      </c>
      <c r="AG92" s="222">
        <v>469122</v>
      </c>
      <c r="AI92" s="63">
        <f>beruházások!X14/1.27</f>
        <v>2755905.5118110236</v>
      </c>
      <c r="AJ92" s="52"/>
      <c r="AK92" s="69">
        <f>beruházások!Z14/1.27</f>
        <v>2755905.5118110236</v>
      </c>
      <c r="AM92" s="347">
        <v>610804</v>
      </c>
      <c r="AN92" s="353"/>
      <c r="AO92" s="353"/>
      <c r="AP92" s="382">
        <v>11070266</v>
      </c>
      <c r="AQ92" s="382">
        <v>11070261</v>
      </c>
      <c r="AR92" s="381">
        <f t="shared" si="52"/>
        <v>5</v>
      </c>
      <c r="AS92" s="54">
        <f t="shared" si="54"/>
        <v>99.999954833966953</v>
      </c>
      <c r="AT92" s="55">
        <v>11215761</v>
      </c>
      <c r="AU92" s="69">
        <f>AP92-AT92</f>
        <v>-145495</v>
      </c>
      <c r="AV92" s="54">
        <f>AU92/AP92*100</f>
        <v>-1.3142863956475843</v>
      </c>
      <c r="AW92" s="382">
        <v>2755906</v>
      </c>
      <c r="AX92" s="381">
        <v>1614173</v>
      </c>
      <c r="AY92" s="69">
        <f>beruházások!AD14/1.27</f>
        <v>1614173.2283464568</v>
      </c>
      <c r="AZ92" s="69">
        <v>1614173</v>
      </c>
      <c r="BA92" s="258">
        <v>1614173</v>
      </c>
      <c r="BB92" s="501">
        <v>1614173</v>
      </c>
      <c r="BC92" s="501">
        <v>2382441</v>
      </c>
      <c r="BD92" s="501">
        <v>191000</v>
      </c>
      <c r="BE92" s="501">
        <v>191000</v>
      </c>
      <c r="BF92" s="221">
        <v>191000</v>
      </c>
      <c r="BG92" s="515">
        <f t="shared" si="53"/>
        <v>229200</v>
      </c>
      <c r="BH92" s="65">
        <v>3150000</v>
      </c>
      <c r="BI92" s="65"/>
      <c r="BJ92" s="55">
        <v>0</v>
      </c>
      <c r="BK92" s="65"/>
      <c r="BL92" s="607">
        <f t="shared" si="42"/>
        <v>0</v>
      </c>
      <c r="BM92" s="55"/>
      <c r="BN92" s="55">
        <v>0</v>
      </c>
      <c r="BO92" s="55">
        <v>546000</v>
      </c>
      <c r="BP92" s="55">
        <f t="shared" si="34"/>
        <v>655200</v>
      </c>
      <c r="BQ92" s="69">
        <f t="shared" si="35"/>
        <v>720720</v>
      </c>
      <c r="BR92" s="55"/>
      <c r="BS92" s="55"/>
      <c r="BT92" s="55"/>
      <c r="BU92" s="799">
        <v>1440000</v>
      </c>
      <c r="BV92" s="347">
        <v>3500000</v>
      </c>
      <c r="BW92" t="s">
        <v>785</v>
      </c>
    </row>
    <row r="93" spans="1:75" x14ac:dyDescent="0.25">
      <c r="A93" s="54" t="s">
        <v>69</v>
      </c>
      <c r="B93" s="446" t="s">
        <v>171</v>
      </c>
      <c r="C93" s="55">
        <v>0</v>
      </c>
      <c r="D93" s="55">
        <v>0</v>
      </c>
      <c r="E93" s="55">
        <v>0</v>
      </c>
      <c r="F93" s="55">
        <v>643197</v>
      </c>
      <c r="G93" s="55">
        <v>643197</v>
      </c>
      <c r="H93" s="55">
        <v>643197</v>
      </c>
      <c r="I93" s="55">
        <f t="shared" si="50"/>
        <v>701669.45454545459</v>
      </c>
      <c r="J93" s="55">
        <v>228193.37007874018</v>
      </c>
      <c r="K93" s="55">
        <v>228193.37007874018</v>
      </c>
      <c r="L93" s="64">
        <f>beruházások!F14/1.27*0.27</f>
        <v>0</v>
      </c>
      <c r="M93" s="55">
        <f t="shared" si="51"/>
        <v>0</v>
      </c>
      <c r="N93" s="54"/>
      <c r="O93" s="55">
        <v>348193</v>
      </c>
      <c r="P93" s="55">
        <v>309535</v>
      </c>
      <c r="Q93" s="55">
        <v>316528</v>
      </c>
      <c r="R93" s="55"/>
      <c r="S93" s="55">
        <v>555802</v>
      </c>
      <c r="T93" s="55">
        <v>524137</v>
      </c>
      <c r="U93" s="55"/>
      <c r="V93" s="55">
        <f t="shared" si="47"/>
        <v>0</v>
      </c>
      <c r="W93" s="55">
        <f t="shared" si="48"/>
        <v>0</v>
      </c>
      <c r="X93" s="122"/>
      <c r="Z93" s="140">
        <f t="shared" si="46"/>
        <v>0</v>
      </c>
      <c r="AA93" s="69">
        <f t="shared" si="49"/>
        <v>0</v>
      </c>
      <c r="AB93" s="55">
        <v>31705</v>
      </c>
      <c r="AC93" s="55">
        <v>117235</v>
      </c>
      <c r="AD93" s="55">
        <v>243898</v>
      </c>
      <c r="AE93" s="122"/>
      <c r="AF93" s="55">
        <v>531496</v>
      </c>
      <c r="AG93" s="222">
        <v>243898</v>
      </c>
      <c r="AI93" s="63">
        <f>AI92*0.27</f>
        <v>744094.48818897642</v>
      </c>
      <c r="AJ93" s="52"/>
      <c r="AK93" s="69">
        <f>AK92*0.27</f>
        <v>744094.48818897642</v>
      </c>
      <c r="AM93" s="347">
        <v>277914</v>
      </c>
      <c r="AN93" s="353"/>
      <c r="AO93" s="353"/>
      <c r="AP93" s="382">
        <v>3423250</v>
      </c>
      <c r="AQ93" s="382">
        <v>3423250</v>
      </c>
      <c r="AR93" s="382">
        <v>3423250</v>
      </c>
      <c r="AS93" s="382">
        <v>3423250</v>
      </c>
      <c r="AT93" s="382">
        <v>3423250</v>
      </c>
      <c r="AU93" s="69">
        <f>AP93-AT93</f>
        <v>0</v>
      </c>
      <c r="AV93" s="54">
        <f>AU93/AP93*100</f>
        <v>0</v>
      </c>
      <c r="AW93" s="382">
        <v>744094</v>
      </c>
      <c r="AX93" s="381">
        <v>435827</v>
      </c>
      <c r="AY93" s="69">
        <f>AY92*0.27</f>
        <v>435826.77165354334</v>
      </c>
      <c r="AZ93" s="69">
        <f t="shared" ref="AZ93:BA93" si="55">AZ92*0.27</f>
        <v>435826.71</v>
      </c>
      <c r="BA93" s="258">
        <f t="shared" si="55"/>
        <v>435826.71</v>
      </c>
      <c r="BB93" s="501">
        <v>435826</v>
      </c>
      <c r="BC93" s="501">
        <v>435826</v>
      </c>
      <c r="BD93" s="501">
        <v>51570</v>
      </c>
      <c r="BE93" s="501">
        <v>51570</v>
      </c>
      <c r="BF93" s="221">
        <v>51570</v>
      </c>
      <c r="BG93" s="515">
        <f t="shared" si="53"/>
        <v>61884</v>
      </c>
      <c r="BH93" s="65">
        <v>1711524</v>
      </c>
      <c r="BI93" s="65">
        <v>807874</v>
      </c>
      <c r="BJ93" s="55">
        <v>0</v>
      </c>
      <c r="BK93" s="65"/>
      <c r="BL93" s="607">
        <f t="shared" si="42"/>
        <v>0</v>
      </c>
      <c r="BM93" s="55"/>
      <c r="BN93" s="55">
        <v>0</v>
      </c>
      <c r="BO93" s="55">
        <v>147420</v>
      </c>
      <c r="BP93" s="55">
        <f t="shared" si="34"/>
        <v>176904</v>
      </c>
      <c r="BQ93" s="69">
        <f t="shared" si="35"/>
        <v>194594.40000000002</v>
      </c>
      <c r="BR93" s="55">
        <v>637795</v>
      </c>
      <c r="BS93" s="55">
        <v>637795</v>
      </c>
      <c r="BT93" s="66">
        <f>BT90*0.27</f>
        <v>405000</v>
      </c>
      <c r="BU93" s="800">
        <v>388800</v>
      </c>
      <c r="BV93" s="347">
        <v>1539000</v>
      </c>
    </row>
    <row r="94" spans="1:75" x14ac:dyDescent="0.25">
      <c r="A94" s="54" t="s">
        <v>70</v>
      </c>
      <c r="B94" s="446" t="s">
        <v>172</v>
      </c>
      <c r="C94" s="55">
        <v>0</v>
      </c>
      <c r="D94" s="55">
        <v>0</v>
      </c>
      <c r="E94" s="55">
        <v>0</v>
      </c>
      <c r="F94" s="55"/>
      <c r="G94" s="55"/>
      <c r="H94" s="55"/>
      <c r="I94" s="55">
        <f t="shared" si="50"/>
        <v>0</v>
      </c>
      <c r="J94" s="55">
        <v>0</v>
      </c>
      <c r="K94" s="55">
        <v>0</v>
      </c>
      <c r="L94" s="55">
        <v>0</v>
      </c>
      <c r="M94" s="55">
        <f t="shared" si="51"/>
        <v>0</v>
      </c>
      <c r="N94" s="54"/>
      <c r="O94" s="55"/>
      <c r="P94" s="55"/>
      <c r="Q94" s="55"/>
      <c r="R94" s="55"/>
      <c r="S94" s="55"/>
      <c r="T94" s="55"/>
      <c r="U94" s="55"/>
      <c r="V94" s="55">
        <f t="shared" si="47"/>
        <v>0</v>
      </c>
      <c r="W94" s="55">
        <f t="shared" si="48"/>
        <v>0</v>
      </c>
      <c r="X94" s="122"/>
      <c r="Z94" s="140" t="e">
        <f t="shared" si="46"/>
        <v>#DIV/0!</v>
      </c>
      <c r="AA94" s="69">
        <f t="shared" si="49"/>
        <v>0</v>
      </c>
      <c r="AB94" s="55"/>
      <c r="AC94" s="55"/>
      <c r="AD94" s="55"/>
      <c r="AE94" s="122"/>
      <c r="AF94" s="55"/>
      <c r="AG94" s="222"/>
      <c r="AH94" s="55">
        <f t="shared" si="44"/>
        <v>0</v>
      </c>
      <c r="AI94" s="63">
        <f t="shared" si="36"/>
        <v>0</v>
      </c>
      <c r="AJ94" s="52"/>
      <c r="AK94" s="69">
        <f t="shared" si="45"/>
        <v>0</v>
      </c>
      <c r="AM94" s="54"/>
      <c r="AN94" s="259"/>
      <c r="AO94" s="259"/>
      <c r="AP94" s="382"/>
      <c r="AR94" s="381">
        <f t="shared" si="52"/>
        <v>0</v>
      </c>
      <c r="AU94" s="69"/>
      <c r="AW94" s="382"/>
      <c r="AX94" s="55"/>
      <c r="AY94" s="69">
        <f t="shared" si="41"/>
        <v>0</v>
      </c>
      <c r="AZ94" s="69">
        <f t="shared" ref="AZ94:AZ101" si="56">AY94</f>
        <v>0</v>
      </c>
      <c r="BA94" s="258">
        <f t="shared" ref="BA94:BA101" si="57">AZ94</f>
        <v>0</v>
      </c>
      <c r="BB94" s="501"/>
      <c r="BE94" s="501"/>
      <c r="BF94" s="221"/>
      <c r="BG94" s="515">
        <f t="shared" si="53"/>
        <v>0</v>
      </c>
      <c r="BI94" s="65"/>
      <c r="BJ94" s="55"/>
      <c r="BK94" s="65"/>
      <c r="BL94" s="607">
        <f t="shared" si="42"/>
        <v>0</v>
      </c>
      <c r="BM94" s="55"/>
      <c r="BN94" s="55">
        <v>0</v>
      </c>
      <c r="BO94" s="55">
        <v>515280</v>
      </c>
      <c r="BP94" s="55">
        <f t="shared" si="34"/>
        <v>618336</v>
      </c>
      <c r="BQ94" s="69">
        <f t="shared" si="35"/>
        <v>680169.60000000009</v>
      </c>
      <c r="BR94" s="55"/>
      <c r="BS94" s="55"/>
      <c r="BT94" s="55"/>
      <c r="BU94" s="800"/>
      <c r="BV94" s="347"/>
    </row>
    <row r="95" spans="1:75" x14ac:dyDescent="0.25">
      <c r="A95" s="54" t="s">
        <v>239</v>
      </c>
      <c r="B95" s="446" t="s">
        <v>240</v>
      </c>
      <c r="C95" s="55"/>
      <c r="D95" s="55"/>
      <c r="E95" s="55"/>
      <c r="F95" s="55"/>
      <c r="G95" s="55"/>
      <c r="H95" s="55"/>
      <c r="I95" s="55">
        <f t="shared" si="50"/>
        <v>0</v>
      </c>
      <c r="J95" s="55"/>
      <c r="K95" s="55"/>
      <c r="L95" s="55"/>
      <c r="M95" s="55">
        <f t="shared" si="51"/>
        <v>0</v>
      </c>
      <c r="N95" s="54"/>
      <c r="O95" s="55"/>
      <c r="P95" s="55"/>
      <c r="Q95" s="55"/>
      <c r="R95" s="55"/>
      <c r="S95" s="55"/>
      <c r="T95" s="55"/>
      <c r="U95" s="55"/>
      <c r="V95" s="55">
        <f t="shared" si="47"/>
        <v>0</v>
      </c>
      <c r="W95" s="55">
        <f t="shared" si="48"/>
        <v>0</v>
      </c>
      <c r="X95" s="122"/>
      <c r="Z95" s="140" t="e">
        <f t="shared" si="46"/>
        <v>#DIV/0!</v>
      </c>
      <c r="AA95" s="69">
        <f t="shared" si="49"/>
        <v>0</v>
      </c>
      <c r="AB95" s="55"/>
      <c r="AC95" s="55"/>
      <c r="AD95" s="55"/>
      <c r="AE95" s="122"/>
      <c r="AF95" s="55"/>
      <c r="AG95" s="222"/>
      <c r="AH95" s="55">
        <f t="shared" si="44"/>
        <v>0</v>
      </c>
      <c r="AI95" s="63">
        <f t="shared" si="36"/>
        <v>0</v>
      </c>
      <c r="AJ95" s="52"/>
      <c r="AK95" s="69">
        <f t="shared" si="45"/>
        <v>0</v>
      </c>
      <c r="AM95" s="54"/>
      <c r="AN95" s="259"/>
      <c r="AO95" s="259"/>
      <c r="AP95" s="382"/>
      <c r="AR95" s="381">
        <f t="shared" si="52"/>
        <v>0</v>
      </c>
      <c r="AU95" s="69"/>
      <c r="AW95" s="382"/>
      <c r="AX95" s="55"/>
      <c r="AY95" s="69">
        <f t="shared" si="41"/>
        <v>0</v>
      </c>
      <c r="AZ95" s="69">
        <f t="shared" si="56"/>
        <v>0</v>
      </c>
      <c r="BA95" s="258">
        <f t="shared" si="57"/>
        <v>0</v>
      </c>
      <c r="BB95" s="501"/>
      <c r="BE95" s="501"/>
      <c r="BF95" s="221"/>
      <c r="BG95" s="515">
        <f t="shared" si="53"/>
        <v>0</v>
      </c>
      <c r="BI95" s="65"/>
      <c r="BJ95" s="55"/>
      <c r="BK95" s="65"/>
      <c r="BL95" s="607">
        <f t="shared" si="42"/>
        <v>0</v>
      </c>
      <c r="BM95" s="55"/>
      <c r="BN95" s="55"/>
      <c r="BO95" s="55"/>
      <c r="BP95" s="55">
        <f t="shared" si="34"/>
        <v>0</v>
      </c>
      <c r="BQ95" s="69">
        <f t="shared" si="35"/>
        <v>0</v>
      </c>
      <c r="BR95" s="55"/>
      <c r="BS95" s="55"/>
      <c r="BT95" s="55"/>
      <c r="BU95" s="800"/>
      <c r="BV95" s="347"/>
    </row>
    <row r="96" spans="1:75" x14ac:dyDescent="0.25">
      <c r="A96" s="54" t="s">
        <v>71</v>
      </c>
      <c r="B96" s="446" t="s">
        <v>173</v>
      </c>
      <c r="C96" s="55">
        <v>0</v>
      </c>
      <c r="D96" s="55">
        <v>0</v>
      </c>
      <c r="E96" s="55">
        <v>0</v>
      </c>
      <c r="F96" s="55"/>
      <c r="G96" s="55"/>
      <c r="H96" s="55"/>
      <c r="I96" s="55">
        <f t="shared" si="50"/>
        <v>0</v>
      </c>
      <c r="J96" s="55">
        <v>0</v>
      </c>
      <c r="K96" s="55">
        <v>0</v>
      </c>
      <c r="L96" s="55">
        <v>0</v>
      </c>
      <c r="M96" s="55">
        <f t="shared" si="51"/>
        <v>0</v>
      </c>
      <c r="N96" s="54"/>
      <c r="O96" s="55"/>
      <c r="P96" s="55"/>
      <c r="Q96" s="55"/>
      <c r="R96" s="55"/>
      <c r="S96" s="55"/>
      <c r="T96" s="55"/>
      <c r="U96" s="55"/>
      <c r="V96" s="55">
        <f t="shared" si="47"/>
        <v>0</v>
      </c>
      <c r="W96" s="55">
        <f t="shared" si="48"/>
        <v>0</v>
      </c>
      <c r="X96" s="122"/>
      <c r="Z96" s="140" t="e">
        <f t="shared" si="46"/>
        <v>#DIV/0!</v>
      </c>
      <c r="AA96" s="69">
        <f t="shared" si="49"/>
        <v>0</v>
      </c>
      <c r="AB96" s="55"/>
      <c r="AC96" s="55"/>
      <c r="AD96" s="55"/>
      <c r="AE96" s="122"/>
      <c r="AF96" s="55"/>
      <c r="AG96" s="222"/>
      <c r="AH96" s="55">
        <f t="shared" si="44"/>
        <v>0</v>
      </c>
      <c r="AI96" s="63">
        <f t="shared" si="36"/>
        <v>0</v>
      </c>
      <c r="AJ96" s="52"/>
      <c r="AK96" s="69">
        <f t="shared" si="45"/>
        <v>0</v>
      </c>
      <c r="AM96" s="54"/>
      <c r="AN96" s="259"/>
      <c r="AO96" s="259"/>
      <c r="AP96" s="382"/>
      <c r="AR96" s="381">
        <f t="shared" si="52"/>
        <v>0</v>
      </c>
      <c r="AU96" s="69"/>
      <c r="AW96" s="382"/>
      <c r="AX96" s="55"/>
      <c r="AY96" s="69">
        <f t="shared" si="41"/>
        <v>0</v>
      </c>
      <c r="AZ96" s="69">
        <f t="shared" si="56"/>
        <v>0</v>
      </c>
      <c r="BA96" s="258">
        <f t="shared" si="57"/>
        <v>0</v>
      </c>
      <c r="BB96" s="501"/>
      <c r="BE96" s="501"/>
      <c r="BF96" s="221"/>
      <c r="BG96" s="515">
        <f t="shared" si="53"/>
        <v>0</v>
      </c>
      <c r="BI96" s="65"/>
      <c r="BJ96" s="55"/>
      <c r="BK96" s="65"/>
      <c r="BL96" s="607">
        <f t="shared" si="42"/>
        <v>0</v>
      </c>
      <c r="BM96" s="55"/>
      <c r="BN96" s="55">
        <v>0</v>
      </c>
      <c r="BO96" s="55">
        <v>139126</v>
      </c>
      <c r="BP96" s="55">
        <f t="shared" si="34"/>
        <v>166951.20000000001</v>
      </c>
      <c r="BQ96" s="69">
        <f t="shared" si="35"/>
        <v>183646.32000000004</v>
      </c>
      <c r="BR96" s="55"/>
      <c r="BS96" s="55"/>
      <c r="BT96" s="55"/>
      <c r="BU96" s="800"/>
      <c r="BV96" s="347"/>
    </row>
    <row r="97" spans="1:74" x14ac:dyDescent="0.25">
      <c r="A97" s="54" t="s">
        <v>707</v>
      </c>
      <c r="B97" s="55" t="s">
        <v>708</v>
      </c>
      <c r="C97" s="55"/>
      <c r="D97" s="55"/>
      <c r="E97" s="55"/>
      <c r="F97" s="55"/>
      <c r="G97" s="55"/>
      <c r="H97" s="55"/>
      <c r="I97" s="55"/>
      <c r="J97" s="55"/>
      <c r="K97" s="55"/>
      <c r="L97" s="64"/>
      <c r="N97" s="1"/>
      <c r="O97" s="55"/>
      <c r="P97" s="55"/>
      <c r="Q97" s="55"/>
      <c r="R97" s="55"/>
      <c r="S97" s="55"/>
      <c r="T97" s="55"/>
      <c r="U97" s="55"/>
      <c r="V97" s="69"/>
      <c r="W97" s="69"/>
      <c r="X97" s="122"/>
      <c r="Z97" s="140"/>
      <c r="AA97" s="171"/>
      <c r="AB97" s="55"/>
      <c r="AC97" s="223"/>
      <c r="AD97" s="55"/>
      <c r="AE97" s="122"/>
      <c r="AF97" s="55"/>
      <c r="AG97" s="55"/>
      <c r="AI97" s="230"/>
      <c r="AJ97" s="230"/>
      <c r="AK97" s="230"/>
      <c r="AL97" s="55"/>
      <c r="AM97" s="55"/>
      <c r="AN97" s="223"/>
      <c r="AO97" s="223"/>
      <c r="AP97" s="222"/>
      <c r="AQ97" s="65"/>
      <c r="AR97" s="69"/>
      <c r="AS97" s="415"/>
      <c r="AT97" s="65"/>
      <c r="AU97" s="55"/>
      <c r="AV97" s="55"/>
      <c r="AW97" s="430"/>
      <c r="AX97" s="430"/>
      <c r="AY97" s="69"/>
      <c r="AZ97" s="69"/>
      <c r="BA97" s="69"/>
      <c r="BB97" s="501"/>
      <c r="BE97" s="501"/>
      <c r="BF97" s="221"/>
      <c r="BG97" s="517"/>
      <c r="BH97" s="222"/>
      <c r="BI97" s="65"/>
      <c r="BJ97" s="65"/>
      <c r="BK97" s="65"/>
      <c r="BL97" s="610"/>
      <c r="BM97" s="55">
        <v>0</v>
      </c>
      <c r="BN97" s="55"/>
      <c r="BO97" s="55">
        <v>0</v>
      </c>
      <c r="BP97" s="55">
        <f t="shared" si="34"/>
        <v>0</v>
      </c>
      <c r="BQ97" s="69">
        <f t="shared" si="35"/>
        <v>0</v>
      </c>
      <c r="BR97" s="55"/>
      <c r="BS97" s="55"/>
      <c r="BT97" s="55"/>
      <c r="BU97" s="353"/>
      <c r="BV97" s="347"/>
    </row>
    <row r="98" spans="1:74" x14ac:dyDescent="0.25">
      <c r="A98" s="54" t="s">
        <v>263</v>
      </c>
      <c r="B98" s="446" t="s">
        <v>264</v>
      </c>
      <c r="C98" s="55"/>
      <c r="D98" s="55"/>
      <c r="E98" s="55"/>
      <c r="F98" s="55"/>
      <c r="G98" s="55"/>
      <c r="H98" s="55"/>
      <c r="I98" s="55">
        <f t="shared" si="50"/>
        <v>0</v>
      </c>
      <c r="J98" s="55"/>
      <c r="K98" s="55"/>
      <c r="L98" s="55"/>
      <c r="M98" s="55">
        <f t="shared" si="51"/>
        <v>0</v>
      </c>
      <c r="N98" s="54"/>
      <c r="O98" s="55"/>
      <c r="P98" s="55"/>
      <c r="Q98" s="55"/>
      <c r="R98" s="55"/>
      <c r="S98" s="55"/>
      <c r="T98" s="55"/>
      <c r="U98" s="55"/>
      <c r="V98" s="55">
        <f t="shared" si="47"/>
        <v>0</v>
      </c>
      <c r="W98" s="55">
        <f t="shared" si="48"/>
        <v>0</v>
      </c>
      <c r="X98" s="122"/>
      <c r="Z98" s="140" t="e">
        <f t="shared" si="46"/>
        <v>#DIV/0!</v>
      </c>
      <c r="AA98" s="69">
        <f t="shared" si="49"/>
        <v>0</v>
      </c>
      <c r="AB98" s="55"/>
      <c r="AC98" s="55"/>
      <c r="AD98" s="55"/>
      <c r="AE98" s="122"/>
      <c r="AF98" s="55"/>
      <c r="AG98" s="222"/>
      <c r="AH98" s="55">
        <f t="shared" si="44"/>
        <v>0</v>
      </c>
      <c r="AI98" s="63">
        <f t="shared" si="36"/>
        <v>0</v>
      </c>
      <c r="AJ98" s="52"/>
      <c r="AK98" s="69">
        <f t="shared" si="45"/>
        <v>0</v>
      </c>
      <c r="AM98" s="54"/>
      <c r="AN98" s="259"/>
      <c r="AO98" s="259"/>
      <c r="AP98" s="382"/>
      <c r="AR98" s="381">
        <f t="shared" si="52"/>
        <v>0</v>
      </c>
      <c r="AU98" s="69"/>
      <c r="AW98" s="382"/>
      <c r="AX98" s="55"/>
      <c r="AY98" s="69">
        <f t="shared" si="41"/>
        <v>0</v>
      </c>
      <c r="AZ98" s="69">
        <f t="shared" si="56"/>
        <v>0</v>
      </c>
      <c r="BA98" s="258">
        <f t="shared" si="57"/>
        <v>0</v>
      </c>
      <c r="BB98" s="501"/>
      <c r="BE98" s="501"/>
      <c r="BF98" s="221"/>
      <c r="BG98" s="515">
        <f t="shared" si="53"/>
        <v>0</v>
      </c>
      <c r="BI98" s="65"/>
      <c r="BJ98" s="55"/>
      <c r="BK98" s="65"/>
      <c r="BL98" s="69">
        <f t="shared" si="42"/>
        <v>0</v>
      </c>
      <c r="BM98" s="55"/>
      <c r="BN98" s="55"/>
      <c r="BO98" s="55"/>
      <c r="BP98" s="55">
        <f t="shared" si="34"/>
        <v>0</v>
      </c>
      <c r="BQ98" s="69">
        <f t="shared" si="35"/>
        <v>0</v>
      </c>
      <c r="BR98" s="55"/>
      <c r="BS98" s="55"/>
      <c r="BT98" s="55"/>
      <c r="BU98" s="353"/>
      <c r="BV98" s="347"/>
    </row>
    <row r="99" spans="1:74" x14ac:dyDescent="0.25">
      <c r="A99" s="54" t="s">
        <v>665</v>
      </c>
      <c r="B99" s="55" t="s">
        <v>666</v>
      </c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4"/>
      <c r="O99" s="55"/>
      <c r="P99" s="55"/>
      <c r="Q99" s="55"/>
      <c r="R99" s="55"/>
      <c r="S99" s="55"/>
      <c r="T99" s="55"/>
      <c r="U99" s="55"/>
      <c r="V99" s="55"/>
      <c r="W99" s="55"/>
      <c r="X99" s="122"/>
      <c r="Z99" s="140"/>
      <c r="AA99" s="69"/>
      <c r="AB99" s="55"/>
      <c r="AC99" s="55"/>
      <c r="AD99" s="55"/>
      <c r="AE99" s="122"/>
      <c r="AF99" s="55"/>
      <c r="AG99" s="222"/>
      <c r="AJ99" s="52"/>
      <c r="AK99" s="69"/>
      <c r="AM99" s="54"/>
      <c r="AN99" s="259"/>
      <c r="AO99" s="259"/>
      <c r="AP99" s="382"/>
      <c r="AR99" s="381"/>
      <c r="AU99" s="69"/>
      <c r="AW99" s="382"/>
      <c r="AX99" s="55"/>
      <c r="AY99" s="69"/>
      <c r="AZ99" s="69"/>
      <c r="BA99" s="258"/>
      <c r="BB99" s="501"/>
      <c r="BE99" s="501"/>
      <c r="BF99" s="221"/>
      <c r="BG99" s="515"/>
      <c r="BI99" s="65"/>
      <c r="BJ99" s="55"/>
      <c r="BK99" s="65"/>
      <c r="BL99" s="69"/>
      <c r="BM99" s="55"/>
      <c r="BN99" s="55"/>
      <c r="BO99" s="55"/>
      <c r="BP99" s="55">
        <f t="shared" si="34"/>
        <v>0</v>
      </c>
      <c r="BQ99" s="69">
        <f t="shared" si="35"/>
        <v>0</v>
      </c>
      <c r="BR99" s="55"/>
      <c r="BS99" s="55"/>
      <c r="BT99" s="55"/>
      <c r="BU99" s="353"/>
      <c r="BV99" s="347"/>
    </row>
    <row r="100" spans="1:74" x14ac:dyDescent="0.25">
      <c r="A100" s="54" t="s">
        <v>265</v>
      </c>
      <c r="B100" s="446" t="s">
        <v>266</v>
      </c>
      <c r="C100" s="55"/>
      <c r="D100" s="55"/>
      <c r="E100" s="55"/>
      <c r="F100" s="55"/>
      <c r="G100" s="55"/>
      <c r="H100" s="55"/>
      <c r="I100" s="55">
        <f t="shared" si="50"/>
        <v>0</v>
      </c>
      <c r="J100" s="55"/>
      <c r="K100" s="55"/>
      <c r="L100" s="55"/>
      <c r="M100" s="55">
        <f t="shared" si="51"/>
        <v>0</v>
      </c>
      <c r="N100" s="54"/>
      <c r="O100" s="55"/>
      <c r="P100" s="55"/>
      <c r="Q100" s="55"/>
      <c r="R100" s="55"/>
      <c r="S100" s="55"/>
      <c r="T100" s="55"/>
      <c r="U100" s="55"/>
      <c r="V100" s="55">
        <f t="shared" si="47"/>
        <v>0</v>
      </c>
      <c r="W100" s="55">
        <f t="shared" si="48"/>
        <v>0</v>
      </c>
      <c r="X100" s="122"/>
      <c r="Z100" s="140" t="e">
        <f t="shared" si="46"/>
        <v>#DIV/0!</v>
      </c>
      <c r="AA100" s="69">
        <f t="shared" si="49"/>
        <v>0</v>
      </c>
      <c r="AB100" s="55"/>
      <c r="AC100" s="55"/>
      <c r="AD100" s="55"/>
      <c r="AE100" s="122"/>
      <c r="AF100" s="55"/>
      <c r="AG100" s="222"/>
      <c r="AH100" s="55">
        <f t="shared" si="44"/>
        <v>0</v>
      </c>
      <c r="AI100" s="63">
        <f t="shared" si="36"/>
        <v>0</v>
      </c>
      <c r="AJ100" s="52"/>
      <c r="AK100" s="69">
        <f t="shared" si="45"/>
        <v>0</v>
      </c>
      <c r="AM100" s="54"/>
      <c r="AN100" s="259"/>
      <c r="AO100" s="259"/>
      <c r="AP100" s="382"/>
      <c r="AR100" s="381">
        <f t="shared" si="52"/>
        <v>0</v>
      </c>
      <c r="AU100" s="69"/>
      <c r="AW100" s="382"/>
      <c r="AX100" s="55"/>
      <c r="AY100" s="69">
        <f t="shared" si="41"/>
        <v>0</v>
      </c>
      <c r="AZ100" s="69">
        <f t="shared" si="56"/>
        <v>0</v>
      </c>
      <c r="BA100" s="258">
        <f t="shared" si="57"/>
        <v>0</v>
      </c>
      <c r="BB100" s="501"/>
      <c r="BE100" s="501"/>
      <c r="BF100" s="221"/>
      <c r="BG100" s="515">
        <f t="shared" si="53"/>
        <v>0</v>
      </c>
      <c r="BI100" s="65"/>
      <c r="BJ100" s="55"/>
      <c r="BK100" s="65"/>
      <c r="BL100" s="69">
        <f t="shared" si="42"/>
        <v>0</v>
      </c>
      <c r="BM100" s="55"/>
      <c r="BN100" s="55"/>
      <c r="BO100" s="55"/>
      <c r="BP100" s="55">
        <f t="shared" si="34"/>
        <v>0</v>
      </c>
      <c r="BQ100" s="69">
        <f t="shared" si="35"/>
        <v>0</v>
      </c>
      <c r="BR100" s="55"/>
      <c r="BS100" s="55"/>
      <c r="BT100" s="55"/>
      <c r="BU100" s="353"/>
      <c r="BV100" s="347"/>
    </row>
    <row r="101" spans="1:74" x14ac:dyDescent="0.25">
      <c r="A101" s="54" t="s">
        <v>72</v>
      </c>
      <c r="B101" s="446" t="s">
        <v>174</v>
      </c>
      <c r="C101" s="55">
        <v>0</v>
      </c>
      <c r="D101" s="55">
        <v>0</v>
      </c>
      <c r="E101" s="55">
        <v>0</v>
      </c>
      <c r="F101" s="55"/>
      <c r="G101" s="55"/>
      <c r="H101" s="55"/>
      <c r="I101" s="55">
        <f t="shared" si="50"/>
        <v>0</v>
      </c>
      <c r="J101" s="55">
        <v>0</v>
      </c>
      <c r="K101" s="55">
        <v>0</v>
      </c>
      <c r="L101" s="55">
        <v>0</v>
      </c>
      <c r="M101" s="55">
        <f t="shared" si="51"/>
        <v>0</v>
      </c>
      <c r="N101" s="54"/>
      <c r="O101" s="55"/>
      <c r="P101" s="55"/>
      <c r="Q101" s="55"/>
      <c r="R101" s="55"/>
      <c r="S101" s="55"/>
      <c r="T101" s="55"/>
      <c r="U101" s="55"/>
      <c r="V101" s="55">
        <f t="shared" si="47"/>
        <v>0</v>
      </c>
      <c r="W101" s="55">
        <f t="shared" si="48"/>
        <v>0</v>
      </c>
      <c r="X101" s="122"/>
      <c r="Z101" s="140" t="e">
        <f t="shared" si="46"/>
        <v>#DIV/0!</v>
      </c>
      <c r="AA101" s="69">
        <f t="shared" si="49"/>
        <v>0</v>
      </c>
      <c r="AB101" s="55"/>
      <c r="AC101" s="55"/>
      <c r="AD101" s="55"/>
      <c r="AE101" s="122"/>
      <c r="AF101" s="55"/>
      <c r="AG101" s="222"/>
      <c r="AH101" s="55">
        <f t="shared" si="44"/>
        <v>0</v>
      </c>
      <c r="AI101" s="63">
        <f t="shared" si="36"/>
        <v>0</v>
      </c>
      <c r="AJ101" s="52"/>
      <c r="AK101" s="69">
        <f t="shared" si="45"/>
        <v>0</v>
      </c>
      <c r="AM101" s="54"/>
      <c r="AN101" s="259"/>
      <c r="AO101" s="259"/>
      <c r="AP101" s="382"/>
      <c r="AR101" s="381">
        <f t="shared" si="52"/>
        <v>0</v>
      </c>
      <c r="AU101" s="69"/>
      <c r="AW101" s="382"/>
      <c r="AX101" s="55"/>
      <c r="AY101" s="69">
        <f t="shared" si="41"/>
        <v>0</v>
      </c>
      <c r="AZ101" s="69">
        <f t="shared" si="56"/>
        <v>0</v>
      </c>
      <c r="BA101" s="258">
        <f t="shared" si="57"/>
        <v>0</v>
      </c>
      <c r="BB101" s="501"/>
      <c r="BE101" s="501"/>
      <c r="BF101" s="221"/>
      <c r="BG101" s="515">
        <f t="shared" si="53"/>
        <v>0</v>
      </c>
      <c r="BI101" s="65"/>
      <c r="BJ101" s="55"/>
      <c r="BK101" s="65"/>
      <c r="BL101" s="69">
        <f t="shared" si="42"/>
        <v>0</v>
      </c>
      <c r="BM101" s="55"/>
      <c r="BN101" s="55"/>
      <c r="BO101" s="55"/>
      <c r="BP101" s="55">
        <f t="shared" si="34"/>
        <v>0</v>
      </c>
      <c r="BQ101" s="69">
        <f t="shared" si="35"/>
        <v>0</v>
      </c>
      <c r="BR101" s="55"/>
      <c r="BS101" s="55"/>
      <c r="BT101" s="55"/>
      <c r="BU101" s="353"/>
      <c r="BV101" s="347"/>
    </row>
    <row r="102" spans="1:74" x14ac:dyDescent="0.25">
      <c r="I102" s="1">
        <f t="shared" si="50"/>
        <v>0</v>
      </c>
      <c r="M102" s="1">
        <f t="shared" si="51"/>
        <v>0</v>
      </c>
      <c r="AE102" s="120"/>
      <c r="AH102" s="71"/>
      <c r="AI102" s="340"/>
      <c r="AQ102" s="682"/>
      <c r="BC102" s="507"/>
      <c r="BD102" s="507"/>
      <c r="BF102" s="219"/>
      <c r="BH102" s="250"/>
      <c r="BV102" s="347"/>
    </row>
    <row r="103" spans="1:74" x14ac:dyDescent="0.25">
      <c r="A103" s="11" t="s">
        <v>3</v>
      </c>
      <c r="B103" s="12"/>
      <c r="C103" s="1">
        <f t="shared" ref="C103:H103" si="58">SUM(C2:C37)</f>
        <v>111148989.88</v>
      </c>
      <c r="D103" s="1">
        <f t="shared" si="58"/>
        <v>96452251</v>
      </c>
      <c r="E103" s="1">
        <f t="shared" si="58"/>
        <v>147622787.36000001</v>
      </c>
      <c r="F103" s="1">
        <f t="shared" si="58"/>
        <v>109865249</v>
      </c>
      <c r="G103" s="1">
        <f t="shared" si="58"/>
        <v>147709886</v>
      </c>
      <c r="H103" s="1">
        <f t="shared" si="58"/>
        <v>122107690</v>
      </c>
      <c r="I103" s="1">
        <f t="shared" si="50"/>
        <v>133208389.09090909</v>
      </c>
      <c r="J103" s="1">
        <f>SUM(J2:J37)</f>
        <v>152110827.37007874</v>
      </c>
      <c r="K103" s="1">
        <v>149398817.37007874</v>
      </c>
      <c r="L103" s="1">
        <f>SUM(L2:L37)</f>
        <v>144624424</v>
      </c>
      <c r="M103" s="1">
        <f t="shared" si="51"/>
        <v>108.57005702643843</v>
      </c>
      <c r="N103" s="52"/>
      <c r="O103" s="1">
        <f t="shared" ref="O103:W103" si="59">SUM(O2:O37)</f>
        <v>149526246</v>
      </c>
      <c r="P103" s="1">
        <f t="shared" si="59"/>
        <v>103810661</v>
      </c>
      <c r="Q103" s="1">
        <f t="shared" si="59"/>
        <v>124417414</v>
      </c>
      <c r="R103" s="1">
        <f t="shared" si="59"/>
        <v>144995464</v>
      </c>
      <c r="S103" s="1">
        <f t="shared" si="59"/>
        <v>149526246</v>
      </c>
      <c r="T103" s="1">
        <f t="shared" si="59"/>
        <v>143827947</v>
      </c>
      <c r="U103" s="1">
        <f t="shared" si="59"/>
        <v>162996044.69999999</v>
      </c>
      <c r="V103" s="1">
        <f t="shared" si="59"/>
        <v>162996044.69999999</v>
      </c>
      <c r="W103" s="1">
        <f t="shared" si="59"/>
        <v>160563444.69999999</v>
      </c>
      <c r="X103" s="125">
        <f t="shared" si="37"/>
        <v>88.240145498450858</v>
      </c>
      <c r="AA103" s="1">
        <f t="shared" ref="AA103:AM103" si="60">SUM(AA2:AA37)</f>
        <v>160563444.69999999</v>
      </c>
      <c r="AB103" s="1">
        <f t="shared" si="60"/>
        <v>75398409</v>
      </c>
      <c r="AC103" s="1">
        <f t="shared" si="60"/>
        <v>93743813</v>
      </c>
      <c r="AD103" s="1">
        <f t="shared" si="60"/>
        <v>92396926</v>
      </c>
      <c r="AE103" s="1" t="e">
        <f t="shared" si="60"/>
        <v>#DIV/0!</v>
      </c>
      <c r="AF103" s="1">
        <f t="shared" si="60"/>
        <v>165499445</v>
      </c>
      <c r="AG103" s="14">
        <f t="shared" si="60"/>
        <v>120806532</v>
      </c>
      <c r="AH103" s="264">
        <f t="shared" si="60"/>
        <v>144817838.39999998</v>
      </c>
      <c r="AI103" s="340">
        <f t="shared" si="60"/>
        <v>153783563.472</v>
      </c>
      <c r="AJ103" s="318">
        <f t="shared" si="60"/>
        <v>0</v>
      </c>
      <c r="AK103" s="340">
        <f t="shared" si="60"/>
        <v>192128583.11500001</v>
      </c>
      <c r="AL103" s="340">
        <f t="shared" si="60"/>
        <v>0</v>
      </c>
      <c r="AM103" s="318">
        <f t="shared" si="60"/>
        <v>151136022</v>
      </c>
      <c r="AN103" s="318"/>
      <c r="AO103" s="318"/>
      <c r="AP103" s="63">
        <f>SUM(AP2:AP37)</f>
        <v>198378439</v>
      </c>
      <c r="AQ103" s="406">
        <f>SUM(AQ2:AQ37)</f>
        <v>137622558</v>
      </c>
      <c r="AR103" s="406">
        <f>SUM(AR2:AR37)</f>
        <v>63666608</v>
      </c>
      <c r="AS103" s="54">
        <f t="shared" si="54"/>
        <v>69.373747819439188</v>
      </c>
      <c r="AT103" s="65">
        <f>SUM(AT2:AT37)</f>
        <v>153661726</v>
      </c>
      <c r="AU103" s="65">
        <f>SUM(AU2:AU37)</f>
        <v>44716713</v>
      </c>
      <c r="AV103" s="259"/>
      <c r="AW103" s="340">
        <f t="shared" ref="AW103:BQ103" si="61">SUM(AW2:AW37)</f>
        <v>198378439</v>
      </c>
      <c r="AX103" s="71">
        <f t="shared" si="61"/>
        <v>203665773.75999999</v>
      </c>
      <c r="AY103" s="71">
        <f t="shared" si="61"/>
        <v>200465773.75999999</v>
      </c>
      <c r="AZ103" s="71">
        <f t="shared" si="61"/>
        <v>198642832.66999999</v>
      </c>
      <c r="BA103" s="71">
        <f t="shared" si="61"/>
        <v>212590188.31000003</v>
      </c>
      <c r="BB103" s="501">
        <f t="shared" si="61"/>
        <v>201977690</v>
      </c>
      <c r="BC103" s="501">
        <f t="shared" si="61"/>
        <v>211219432</v>
      </c>
      <c r="BD103" s="501">
        <f t="shared" si="61"/>
        <v>121190115</v>
      </c>
      <c r="BE103" s="501">
        <f t="shared" si="61"/>
        <v>147655752</v>
      </c>
      <c r="BF103" s="221">
        <f t="shared" si="61"/>
        <v>163851873</v>
      </c>
      <c r="BG103" s="389">
        <f t="shared" si="61"/>
        <v>196622247.59999999</v>
      </c>
      <c r="BH103" s="389">
        <f t="shared" si="61"/>
        <v>224235950.07999998</v>
      </c>
      <c r="BI103" s="389">
        <f t="shared" si="61"/>
        <v>233811509</v>
      </c>
      <c r="BJ103" s="389">
        <f t="shared" si="61"/>
        <v>114087215</v>
      </c>
      <c r="BK103" s="65">
        <f t="shared" si="61"/>
        <v>179849129</v>
      </c>
      <c r="BL103" s="65">
        <f t="shared" si="61"/>
        <v>221730044</v>
      </c>
      <c r="BM103" s="65">
        <f t="shared" si="61"/>
        <v>254527274</v>
      </c>
      <c r="BN103" s="65">
        <f t="shared" si="61"/>
        <v>254527274</v>
      </c>
      <c r="BO103" s="65">
        <f t="shared" si="61"/>
        <v>212663639</v>
      </c>
      <c r="BP103" s="65">
        <f t="shared" si="61"/>
        <v>257962407.80000001</v>
      </c>
      <c r="BQ103" s="65">
        <f t="shared" si="61"/>
        <v>283758649</v>
      </c>
      <c r="BR103" s="65">
        <f t="shared" ref="BR103:BS103" si="62">SUM(BR2:BR37)</f>
        <v>286792000</v>
      </c>
      <c r="BS103" s="65">
        <f t="shared" si="62"/>
        <v>306470342</v>
      </c>
      <c r="BT103" s="739">
        <f t="shared" ref="BT103" si="63">SUM(BT2:BT37)</f>
        <v>304675342</v>
      </c>
      <c r="BU103" s="821">
        <f>SUM(BU2:BU37)</f>
        <v>350663138</v>
      </c>
      <c r="BV103" s="739">
        <f>SUM(BV2:BV37)</f>
        <v>383683226</v>
      </c>
    </row>
    <row r="104" spans="1:74" x14ac:dyDescent="0.25">
      <c r="A104" s="11" t="s">
        <v>4</v>
      </c>
      <c r="B104" s="12"/>
      <c r="C104" s="1">
        <f t="shared" ref="C104:H104" si="64">SUM(C38:C101)</f>
        <v>141415290</v>
      </c>
      <c r="D104" s="1">
        <f t="shared" si="64"/>
        <v>128434748.41</v>
      </c>
      <c r="E104" s="1">
        <f t="shared" si="64"/>
        <v>144820643.40000001</v>
      </c>
      <c r="F104" s="1">
        <f t="shared" si="64"/>
        <v>110132454</v>
      </c>
      <c r="G104" s="1">
        <f t="shared" si="64"/>
        <v>146411249.40000001</v>
      </c>
      <c r="H104" s="1">
        <f t="shared" si="64"/>
        <v>121450821</v>
      </c>
      <c r="I104" s="1">
        <f t="shared" si="50"/>
        <v>132491804.72727272</v>
      </c>
      <c r="J104" s="1">
        <f>SUM(J38:J101)</f>
        <v>148680827.37007874</v>
      </c>
      <c r="K104" s="1">
        <v>149398817.37007874</v>
      </c>
      <c r="L104" s="1">
        <f>SUM(L38:L101)</f>
        <v>144624424</v>
      </c>
      <c r="M104" s="1">
        <f t="shared" si="51"/>
        <v>109.15726017748919</v>
      </c>
      <c r="N104" s="52"/>
      <c r="O104" s="1">
        <f t="shared" ref="O104:W104" si="65">SUM(O38:O101)</f>
        <v>150367010</v>
      </c>
      <c r="P104" s="1">
        <f t="shared" si="65"/>
        <v>106024201</v>
      </c>
      <c r="Q104" s="1">
        <f t="shared" si="65"/>
        <v>118645062</v>
      </c>
      <c r="R104" s="1">
        <f t="shared" si="65"/>
        <v>144995464</v>
      </c>
      <c r="S104" s="1">
        <f t="shared" si="65"/>
        <v>149782010</v>
      </c>
      <c r="T104" s="1">
        <f t="shared" si="65"/>
        <v>144962442</v>
      </c>
      <c r="U104" s="1">
        <f t="shared" si="65"/>
        <v>162996044.69999999</v>
      </c>
      <c r="V104" s="1">
        <f t="shared" si="65"/>
        <v>162996044.69999999</v>
      </c>
      <c r="W104" s="1">
        <f t="shared" si="65"/>
        <v>160563444.69999999</v>
      </c>
      <c r="X104" s="125">
        <f t="shared" si="37"/>
        <v>88.936171590426341</v>
      </c>
      <c r="AA104" s="1">
        <f t="shared" ref="AA104:AM104" si="66">SUM(AA38:AA101)</f>
        <v>160563444.69999999</v>
      </c>
      <c r="AB104" s="1">
        <f t="shared" si="66"/>
        <v>75398409</v>
      </c>
      <c r="AC104" s="1">
        <f t="shared" si="66"/>
        <v>93743813</v>
      </c>
      <c r="AD104" s="1">
        <f t="shared" si="66"/>
        <v>92396926</v>
      </c>
      <c r="AE104" s="1" t="e">
        <f t="shared" si="66"/>
        <v>#DIV/0!</v>
      </c>
      <c r="AF104" s="1">
        <f t="shared" si="66"/>
        <v>163594282</v>
      </c>
      <c r="AG104" s="14">
        <f t="shared" si="66"/>
        <v>119921133</v>
      </c>
      <c r="AH104" s="264">
        <f t="shared" si="66"/>
        <v>143049735.59999996</v>
      </c>
      <c r="AI104" s="340">
        <f t="shared" si="66"/>
        <v>151533706.93599999</v>
      </c>
      <c r="AJ104" s="318">
        <f t="shared" si="66"/>
        <v>0</v>
      </c>
      <c r="AK104" s="340">
        <f t="shared" si="66"/>
        <v>192128583.11500001</v>
      </c>
      <c r="AL104" s="340">
        <f t="shared" si="66"/>
        <v>0</v>
      </c>
      <c r="AM104" s="318">
        <f t="shared" si="66"/>
        <v>147810767</v>
      </c>
      <c r="AN104" s="318"/>
      <c r="AO104" s="318"/>
      <c r="AP104" s="63">
        <f>SUM(AP38:AP101)</f>
        <v>198027398</v>
      </c>
      <c r="AQ104" s="406">
        <f>SUM(AQ38:AQ101)</f>
        <v>133979748</v>
      </c>
      <c r="AR104" s="406">
        <f>SUM(AR38:AR101)</f>
        <v>72499571</v>
      </c>
      <c r="AS104" s="54">
        <f t="shared" si="54"/>
        <v>67.657177417439982</v>
      </c>
      <c r="AT104" s="65">
        <f>SUM(AT38:AT101)</f>
        <v>149636014</v>
      </c>
      <c r="AU104" s="65">
        <f>SUM(AU38:AU101)</f>
        <v>48391384</v>
      </c>
      <c r="AV104" s="259"/>
      <c r="AW104" s="340">
        <f t="shared" ref="AW104:BQ104" si="67">SUM(AW38:AW101)</f>
        <v>192128582</v>
      </c>
      <c r="AX104" s="71">
        <f t="shared" si="67"/>
        <v>203665773.75999999</v>
      </c>
      <c r="AY104" s="71">
        <f t="shared" si="67"/>
        <v>200465773.75999999</v>
      </c>
      <c r="AZ104" s="71">
        <f t="shared" si="67"/>
        <v>198642832.66999999</v>
      </c>
      <c r="BA104" s="71">
        <f t="shared" si="67"/>
        <v>212095277.31000003</v>
      </c>
      <c r="BB104" s="501">
        <f t="shared" si="67"/>
        <v>198642833</v>
      </c>
      <c r="BC104" s="501">
        <f t="shared" si="67"/>
        <v>206892118</v>
      </c>
      <c r="BD104" s="501">
        <f t="shared" si="67"/>
        <v>111132116</v>
      </c>
      <c r="BE104" s="501">
        <f t="shared" si="67"/>
        <v>137013902</v>
      </c>
      <c r="BF104" s="221">
        <f t="shared" si="67"/>
        <v>153312530</v>
      </c>
      <c r="BG104" s="389">
        <f t="shared" si="67"/>
        <v>171250407.59999999</v>
      </c>
      <c r="BH104" s="389">
        <f t="shared" si="67"/>
        <v>221762104.44</v>
      </c>
      <c r="BI104" s="389">
        <f t="shared" si="67"/>
        <v>230651670</v>
      </c>
      <c r="BJ104" s="389">
        <f t="shared" si="67"/>
        <v>104662124</v>
      </c>
      <c r="BK104" s="65">
        <f t="shared" si="67"/>
        <v>168898362</v>
      </c>
      <c r="BL104" s="65">
        <f t="shared" si="67"/>
        <v>219601962</v>
      </c>
      <c r="BM104" s="65">
        <f t="shared" si="67"/>
        <v>250043274</v>
      </c>
      <c r="BN104" s="65">
        <f t="shared" si="67"/>
        <v>254527274</v>
      </c>
      <c r="BO104" s="65">
        <f t="shared" si="67"/>
        <v>210235194</v>
      </c>
      <c r="BP104" s="65">
        <f t="shared" si="67"/>
        <v>257962408.11199996</v>
      </c>
      <c r="BQ104" s="65">
        <f t="shared" si="67"/>
        <v>283758648.92319995</v>
      </c>
      <c r="BR104" s="65">
        <f t="shared" ref="BR104:BS104" si="68">SUM(BR38:BR101)</f>
        <v>286792000</v>
      </c>
      <c r="BS104" s="65">
        <f t="shared" si="68"/>
        <v>306470342</v>
      </c>
      <c r="BT104" s="739">
        <f t="shared" ref="BT104" si="69">SUM(BT38:BT101)</f>
        <v>301675342</v>
      </c>
      <c r="BU104" s="821">
        <f>SUM(BU38:BU101)</f>
        <v>350663138</v>
      </c>
      <c r="BV104" s="739">
        <f>SUM(BV38:BV101)</f>
        <v>383683226</v>
      </c>
    </row>
    <row r="105" spans="1:74" x14ac:dyDescent="0.25">
      <c r="A105" s="11"/>
      <c r="B105" s="451" t="s">
        <v>308</v>
      </c>
      <c r="C105" s="1">
        <f t="shared" ref="C105:H105" si="70">SUM(C39:C55)</f>
        <v>96103070</v>
      </c>
      <c r="D105" s="1">
        <f t="shared" si="70"/>
        <v>88871052.409999996</v>
      </c>
      <c r="E105" s="1">
        <f t="shared" si="70"/>
        <v>97622237.400000006</v>
      </c>
      <c r="F105" s="1">
        <f t="shared" si="70"/>
        <v>77459958</v>
      </c>
      <c r="G105" s="1">
        <f t="shared" si="70"/>
        <v>97622237.400000006</v>
      </c>
      <c r="H105" s="1">
        <f t="shared" si="70"/>
        <v>85325434</v>
      </c>
      <c r="I105" s="1">
        <f t="shared" si="50"/>
        <v>93082291.63636364</v>
      </c>
      <c r="J105" s="1">
        <f>SUM(J39:J55)</f>
        <v>101433864</v>
      </c>
      <c r="K105" s="1">
        <v>101433864</v>
      </c>
      <c r="L105" s="1">
        <f>SUM(L39:L55)</f>
        <v>103453864</v>
      </c>
      <c r="M105" s="1">
        <f t="shared" si="51"/>
        <v>111.14236895257592</v>
      </c>
      <c r="N105" s="52"/>
      <c r="O105" s="1">
        <f t="shared" ref="O105:W105" si="71">SUM(O39:O55)</f>
        <v>103453864</v>
      </c>
      <c r="P105" s="1">
        <f t="shared" si="71"/>
        <v>77150088</v>
      </c>
      <c r="Q105" s="1">
        <f t="shared" si="71"/>
        <v>85301635</v>
      </c>
      <c r="R105" s="1">
        <f t="shared" si="71"/>
        <v>103453864</v>
      </c>
      <c r="S105" s="1">
        <f t="shared" si="71"/>
        <v>104090135</v>
      </c>
      <c r="T105" s="1">
        <f t="shared" si="71"/>
        <v>104090135</v>
      </c>
      <c r="U105" s="1">
        <f t="shared" si="71"/>
        <v>118268244.7</v>
      </c>
      <c r="V105" s="1">
        <f t="shared" si="71"/>
        <v>118268244.7</v>
      </c>
      <c r="W105" s="1">
        <f t="shared" si="71"/>
        <v>118268244.7</v>
      </c>
      <c r="X105" s="125">
        <f t="shared" si="37"/>
        <v>88.011904855809533</v>
      </c>
      <c r="AA105" s="1">
        <f t="shared" ref="AA105:AM105" si="72">SUM(AA39:AA55)</f>
        <v>118268244.7</v>
      </c>
      <c r="AB105" s="1">
        <f t="shared" si="72"/>
        <v>51999999</v>
      </c>
      <c r="AC105" s="1">
        <f t="shared" si="72"/>
        <v>67466871</v>
      </c>
      <c r="AD105" s="1">
        <f t="shared" si="72"/>
        <v>62582860</v>
      </c>
      <c r="AE105" s="1">
        <f t="shared" si="72"/>
        <v>562.70975970858012</v>
      </c>
      <c r="AF105" s="1">
        <f t="shared" si="72"/>
        <v>118268245</v>
      </c>
      <c r="AG105" s="14">
        <f t="shared" si="72"/>
        <v>84892430</v>
      </c>
      <c r="AH105" s="264">
        <f t="shared" si="72"/>
        <v>101870915.99999999</v>
      </c>
      <c r="AI105" s="340">
        <f t="shared" si="72"/>
        <v>103020553.52800001</v>
      </c>
      <c r="AJ105" s="318">
        <f t="shared" si="72"/>
        <v>0</v>
      </c>
      <c r="AK105" s="340">
        <f t="shared" si="72"/>
        <v>143615429.70700002</v>
      </c>
      <c r="AL105" s="340">
        <f t="shared" si="72"/>
        <v>0</v>
      </c>
      <c r="AM105" s="318">
        <f t="shared" si="72"/>
        <v>105952411</v>
      </c>
      <c r="AN105" s="318"/>
      <c r="AO105" s="318"/>
      <c r="AP105" s="63">
        <f>SUM(AP39:AP55)</f>
        <v>138615429</v>
      </c>
      <c r="AQ105" s="406">
        <f>SUM(AQ39:AQ55)</f>
        <v>90650875</v>
      </c>
      <c r="AR105" s="406">
        <f>SUM(AR39:AR55)</f>
        <v>52758478</v>
      </c>
      <c r="AS105" s="54">
        <f t="shared" si="54"/>
        <v>65.397391656884025</v>
      </c>
      <c r="AT105" s="65">
        <f>SUM(AT39:AT55)</f>
        <v>100370222</v>
      </c>
      <c r="AU105" s="65">
        <f>SUM(AU39:AU55)</f>
        <v>38245207</v>
      </c>
      <c r="AV105" s="259"/>
      <c r="AW105" s="340">
        <f t="shared" ref="AW105:BQ105" si="73">SUM(AW39:AW55)</f>
        <v>143615429</v>
      </c>
      <c r="AX105" s="71">
        <f t="shared" si="73"/>
        <v>156002620.75999999</v>
      </c>
      <c r="AY105" s="71">
        <f t="shared" si="73"/>
        <v>152802620.75999999</v>
      </c>
      <c r="AZ105" s="71">
        <f t="shared" si="73"/>
        <v>150979679.95999998</v>
      </c>
      <c r="BA105" s="71">
        <f t="shared" si="73"/>
        <v>164432124.60000002</v>
      </c>
      <c r="BB105" s="501">
        <f t="shared" si="73"/>
        <v>150979680</v>
      </c>
      <c r="BC105" s="501">
        <f t="shared" si="73"/>
        <v>150879680</v>
      </c>
      <c r="BD105" s="501">
        <f t="shared" si="73"/>
        <v>84870353</v>
      </c>
      <c r="BE105" s="501">
        <f t="shared" si="73"/>
        <v>105670891</v>
      </c>
      <c r="BF105" s="221">
        <f t="shared" si="73"/>
        <v>116642427</v>
      </c>
      <c r="BG105" s="389">
        <f t="shared" si="73"/>
        <v>127246283.99999999</v>
      </c>
      <c r="BH105" s="389">
        <f t="shared" si="73"/>
        <v>167559450</v>
      </c>
      <c r="BI105" s="389">
        <f t="shared" si="73"/>
        <v>167559450</v>
      </c>
      <c r="BJ105" s="389">
        <f t="shared" si="73"/>
        <v>77567079</v>
      </c>
      <c r="BK105" s="65">
        <f t="shared" si="73"/>
        <v>125529602</v>
      </c>
      <c r="BL105" s="65">
        <f t="shared" si="73"/>
        <v>167559450</v>
      </c>
      <c r="BM105" s="65">
        <f t="shared" si="73"/>
        <v>189155274</v>
      </c>
      <c r="BN105" s="65">
        <f t="shared" si="73"/>
        <v>189155274</v>
      </c>
      <c r="BO105" s="65">
        <f t="shared" si="73"/>
        <v>150493605</v>
      </c>
      <c r="BP105" s="65">
        <f t="shared" si="73"/>
        <v>187764392</v>
      </c>
      <c r="BQ105" s="65">
        <f t="shared" si="73"/>
        <v>206540831.20000002</v>
      </c>
      <c r="BR105" s="65">
        <f t="shared" ref="BR105:BS105" si="74">SUM(BR39:BR55)</f>
        <v>208642000</v>
      </c>
      <c r="BS105" s="65">
        <f t="shared" si="74"/>
        <v>228320342</v>
      </c>
      <c r="BT105" s="739">
        <f t="shared" ref="BT105:BV105" si="75">SUM(BT39:BT55)</f>
        <v>228320342</v>
      </c>
      <c r="BU105" s="821">
        <f t="shared" si="75"/>
        <v>269349738</v>
      </c>
      <c r="BV105" s="739">
        <f t="shared" si="75"/>
        <v>298094226</v>
      </c>
    </row>
    <row r="106" spans="1:74" x14ac:dyDescent="0.25">
      <c r="A106" s="11"/>
      <c r="B106" s="451" t="s">
        <v>309</v>
      </c>
      <c r="C106" s="1">
        <f t="shared" ref="C106:H106" si="76">SUM(C56:C88)+C100+C101</f>
        <v>43344220</v>
      </c>
      <c r="D106" s="1">
        <f t="shared" si="76"/>
        <v>38418723</v>
      </c>
      <c r="E106" s="1">
        <f t="shared" si="76"/>
        <v>43281406</v>
      </c>
      <c r="F106" s="1">
        <f t="shared" si="76"/>
        <v>29587203</v>
      </c>
      <c r="G106" s="1">
        <f t="shared" si="76"/>
        <v>44872012</v>
      </c>
      <c r="H106" s="1">
        <f t="shared" si="76"/>
        <v>33040094</v>
      </c>
      <c r="I106" s="1">
        <f t="shared" si="50"/>
        <v>36043738.909090906</v>
      </c>
      <c r="J106" s="1">
        <f>SUM(J56:J88)+J100+J101</f>
        <v>46173610</v>
      </c>
      <c r="K106" s="1">
        <v>46891600</v>
      </c>
      <c r="L106" s="1">
        <f>SUM(L56:L88)+L100+L101</f>
        <v>40855600</v>
      </c>
      <c r="M106" s="1">
        <f t="shared" si="51"/>
        <v>113.35006088864841</v>
      </c>
      <c r="N106" s="52"/>
      <c r="O106" s="1">
        <f t="shared" ref="O106:W106" si="77">SUM(O56:O88)+O100+O101</f>
        <v>45182633</v>
      </c>
      <c r="P106" s="1">
        <f t="shared" si="77"/>
        <v>27205992</v>
      </c>
      <c r="Q106" s="1">
        <f t="shared" si="77"/>
        <v>31642413</v>
      </c>
      <c r="R106" s="1">
        <f t="shared" si="77"/>
        <v>41541600</v>
      </c>
      <c r="S106" s="1">
        <f t="shared" si="77"/>
        <v>42959833</v>
      </c>
      <c r="T106" s="1">
        <f t="shared" si="77"/>
        <v>38194764</v>
      </c>
      <c r="U106" s="1">
        <f t="shared" si="77"/>
        <v>44727800</v>
      </c>
      <c r="V106" s="1">
        <f t="shared" si="77"/>
        <v>44727800</v>
      </c>
      <c r="W106" s="1">
        <f t="shared" si="77"/>
        <v>42295200</v>
      </c>
      <c r="X106" s="125">
        <f t="shared" si="37"/>
        <v>85.393790886204997</v>
      </c>
      <c r="AA106" s="1">
        <f t="shared" ref="AA106:AM106" si="78">SUM(AA56:AA88)+AA100+AA101</f>
        <v>42295200</v>
      </c>
      <c r="AB106" s="1">
        <f t="shared" si="78"/>
        <v>23249280</v>
      </c>
      <c r="AC106" s="1">
        <f t="shared" si="78"/>
        <v>25725502</v>
      </c>
      <c r="AD106" s="1">
        <f t="shared" si="78"/>
        <v>28666841</v>
      </c>
      <c r="AE106" s="1">
        <f t="shared" si="78"/>
        <v>518.64056946726623</v>
      </c>
      <c r="AF106" s="1">
        <f t="shared" si="78"/>
        <v>42326037</v>
      </c>
      <c r="AG106" s="14">
        <f t="shared" si="78"/>
        <v>33881478</v>
      </c>
      <c r="AH106" s="71">
        <f t="shared" si="78"/>
        <v>40657773.600000009</v>
      </c>
      <c r="AI106" s="340">
        <f t="shared" si="78"/>
        <v>45013153.408</v>
      </c>
      <c r="AJ106" s="317">
        <f t="shared" si="78"/>
        <v>0</v>
      </c>
      <c r="AK106" s="340">
        <f t="shared" si="78"/>
        <v>45013153.408</v>
      </c>
      <c r="AL106" s="340">
        <f t="shared" si="78"/>
        <v>0</v>
      </c>
      <c r="AM106" s="317">
        <f t="shared" si="78"/>
        <v>40535433</v>
      </c>
      <c r="AN106" s="317"/>
      <c r="AO106" s="317"/>
      <c r="AP106" s="63">
        <f>SUM(AP56:AP88)+AP100+AP101</f>
        <v>41781111</v>
      </c>
      <c r="AQ106" s="406">
        <f>SUM(AQ56:AQ88)+AQ100+AQ101</f>
        <v>25704548</v>
      </c>
      <c r="AR106" s="406">
        <f>SUM(AR56:AR88)+AR100+AR101</f>
        <v>16311310</v>
      </c>
      <c r="AS106" s="54">
        <f t="shared" si="54"/>
        <v>61.521935115607626</v>
      </c>
      <c r="AT106" s="65">
        <f>SUM(AT56:AT88)+AT100+AT101</f>
        <v>31495967</v>
      </c>
      <c r="AU106" s="65">
        <f>SUM(AU56:AU88)+AU100+AU101</f>
        <v>10285144</v>
      </c>
      <c r="AV106" s="259"/>
      <c r="AW106" s="340">
        <f t="shared" ref="AW106:BQ106" si="79">SUM(AW56:AW88)+AW100+AW101</f>
        <v>45013153</v>
      </c>
      <c r="AX106" s="71">
        <f t="shared" si="79"/>
        <v>45613153</v>
      </c>
      <c r="AY106" s="71">
        <f t="shared" si="79"/>
        <v>45613153</v>
      </c>
      <c r="AZ106" s="71">
        <f t="shared" si="79"/>
        <v>45613153</v>
      </c>
      <c r="BA106" s="71">
        <f t="shared" si="79"/>
        <v>45613153</v>
      </c>
      <c r="BB106" s="501">
        <f t="shared" si="79"/>
        <v>45613154</v>
      </c>
      <c r="BC106" s="501">
        <f t="shared" si="79"/>
        <v>53194171</v>
      </c>
      <c r="BD106" s="501">
        <f t="shared" si="79"/>
        <v>26019193</v>
      </c>
      <c r="BE106" s="501">
        <f t="shared" si="79"/>
        <v>31100441</v>
      </c>
      <c r="BF106" s="221">
        <f t="shared" si="79"/>
        <v>36427533</v>
      </c>
      <c r="BG106" s="389">
        <f t="shared" si="79"/>
        <v>43713039.600000001</v>
      </c>
      <c r="BH106" s="389">
        <f t="shared" si="79"/>
        <v>46152154.439999998</v>
      </c>
      <c r="BI106" s="389">
        <f t="shared" si="79"/>
        <v>59292220</v>
      </c>
      <c r="BJ106" s="389">
        <f t="shared" si="79"/>
        <v>27095045</v>
      </c>
      <c r="BK106" s="65">
        <f t="shared" si="79"/>
        <v>43368760</v>
      </c>
      <c r="BL106" s="65">
        <f t="shared" si="79"/>
        <v>52042512</v>
      </c>
      <c r="BM106" s="65">
        <f t="shared" si="79"/>
        <v>60888000</v>
      </c>
      <c r="BN106" s="65">
        <f t="shared" si="79"/>
        <v>65372000</v>
      </c>
      <c r="BO106" s="65">
        <f t="shared" si="79"/>
        <v>58393763</v>
      </c>
      <c r="BP106" s="65">
        <f t="shared" si="79"/>
        <v>68580624.912</v>
      </c>
      <c r="BQ106" s="65">
        <f t="shared" si="79"/>
        <v>75438687.403200001</v>
      </c>
      <c r="BR106" s="65">
        <f t="shared" ref="BR106:BS106" si="80">SUM(BR56:BR88)+BR100+BR101</f>
        <v>75150000</v>
      </c>
      <c r="BS106" s="65">
        <f t="shared" si="80"/>
        <v>75150000</v>
      </c>
      <c r="BT106" s="739">
        <f t="shared" ref="BT106:BV106" si="81">SUM(BT56:BT88)+BT100+BT101</f>
        <v>71450000</v>
      </c>
      <c r="BU106" s="821">
        <f t="shared" si="81"/>
        <v>79484600</v>
      </c>
      <c r="BV106" s="739">
        <f t="shared" si="81"/>
        <v>78350000</v>
      </c>
    </row>
    <row r="107" spans="1:74" x14ac:dyDescent="0.25">
      <c r="A107" s="11"/>
      <c r="B107" s="451" t="s">
        <v>310</v>
      </c>
      <c r="C107" s="1">
        <f>SUM(C89:C98)</f>
        <v>1968000</v>
      </c>
      <c r="D107" s="1">
        <f t="shared" ref="D107:L107" si="82">SUM(D89:D98)</f>
        <v>1144973</v>
      </c>
      <c r="E107" s="1">
        <f t="shared" si="82"/>
        <v>3917000</v>
      </c>
      <c r="F107" s="1">
        <f t="shared" si="82"/>
        <v>3085293</v>
      </c>
      <c r="G107" s="1">
        <f t="shared" si="82"/>
        <v>3917000</v>
      </c>
      <c r="H107" s="1">
        <f t="shared" si="82"/>
        <v>3085293</v>
      </c>
      <c r="I107" s="1">
        <f t="shared" si="50"/>
        <v>3365774.1818181816</v>
      </c>
      <c r="J107" s="1">
        <f t="shared" ref="J107" si="83">SUM(J89:J98)</f>
        <v>1073353.3700787402</v>
      </c>
      <c r="K107" s="1">
        <v>1073353.3700787402</v>
      </c>
      <c r="L107" s="1">
        <f t="shared" si="82"/>
        <v>314960</v>
      </c>
      <c r="M107" s="1">
        <f t="shared" si="51"/>
        <v>9.3577282071211165</v>
      </c>
      <c r="N107" s="52"/>
      <c r="O107" s="1">
        <f t="shared" ref="O107:P107" si="84">SUM(O89:O98)</f>
        <v>1730513</v>
      </c>
      <c r="P107" s="1">
        <f t="shared" si="84"/>
        <v>1668121</v>
      </c>
      <c r="Q107" s="1">
        <f t="shared" ref="Q107:R107" si="85">SUM(Q89:Q98)</f>
        <v>1701014</v>
      </c>
      <c r="R107" s="1">
        <f t="shared" si="85"/>
        <v>0</v>
      </c>
      <c r="S107" s="1">
        <f t="shared" ref="S107:U107" si="86">SUM(S89:S98)</f>
        <v>2732042</v>
      </c>
      <c r="T107" s="1">
        <f t="shared" si="86"/>
        <v>2677543</v>
      </c>
      <c r="U107" s="1">
        <f t="shared" si="86"/>
        <v>0</v>
      </c>
      <c r="V107" s="1">
        <f t="shared" ref="V107:W107" si="87">SUM(V89:V98)</f>
        <v>0</v>
      </c>
      <c r="W107" s="1">
        <f t="shared" si="87"/>
        <v>0</v>
      </c>
      <c r="X107" s="125"/>
      <c r="AA107" s="1">
        <f t="shared" ref="AA107:AB107" si="88">SUM(AA89:AA98)</f>
        <v>0</v>
      </c>
      <c r="AB107" s="1">
        <f t="shared" si="88"/>
        <v>149130</v>
      </c>
      <c r="AC107" s="1">
        <f t="shared" ref="AC107:AI107" si="89">SUM(AC89:AC98)</f>
        <v>551440</v>
      </c>
      <c r="AD107" s="1">
        <f t="shared" si="89"/>
        <v>1147225</v>
      </c>
      <c r="AE107" s="1" t="e">
        <f t="shared" si="89"/>
        <v>#DIV/0!</v>
      </c>
      <c r="AF107" s="1">
        <f t="shared" si="89"/>
        <v>3000000</v>
      </c>
      <c r="AG107" s="14">
        <f t="shared" si="89"/>
        <v>1147225</v>
      </c>
      <c r="AH107" s="71">
        <f t="shared" si="89"/>
        <v>521046</v>
      </c>
      <c r="AI107" s="340">
        <f t="shared" si="89"/>
        <v>3500000</v>
      </c>
      <c r="AJ107" s="317">
        <f t="shared" ref="AJ107:AR107" si="90">SUM(AJ89:AJ98)</f>
        <v>0</v>
      </c>
      <c r="AK107" s="340">
        <f t="shared" si="90"/>
        <v>3500000</v>
      </c>
      <c r="AL107" s="340">
        <f t="shared" si="90"/>
        <v>0</v>
      </c>
      <c r="AM107" s="317">
        <f t="shared" si="90"/>
        <v>1322923</v>
      </c>
      <c r="AN107" s="317"/>
      <c r="AO107" s="317"/>
      <c r="AP107" s="63">
        <f t="shared" si="90"/>
        <v>17630858</v>
      </c>
      <c r="AQ107" s="406">
        <f t="shared" si="90"/>
        <v>17624325</v>
      </c>
      <c r="AR107" s="406">
        <f t="shared" si="90"/>
        <v>3429783</v>
      </c>
      <c r="AS107" s="54">
        <f t="shared" si="54"/>
        <v>99.962945649043291</v>
      </c>
      <c r="AT107" s="65">
        <f t="shared" ref="AT107:AU107" si="91">SUM(AT89:AT98)</f>
        <v>17769825</v>
      </c>
      <c r="AU107" s="65">
        <f t="shared" si="91"/>
        <v>-138967</v>
      </c>
      <c r="AV107" s="259"/>
      <c r="AW107" s="340">
        <f t="shared" ref="AW107" si="92">SUM(AW89:AW98)</f>
        <v>3500000</v>
      </c>
      <c r="AX107" s="71">
        <f t="shared" ref="AX107:AY107" si="93">SUM(AX89:AX98)</f>
        <v>2050000</v>
      </c>
      <c r="AY107" s="71">
        <f t="shared" si="93"/>
        <v>2050000</v>
      </c>
      <c r="AZ107" s="71">
        <f t="shared" ref="AZ107" si="94">SUM(AZ89:AZ98)</f>
        <v>2049999.71</v>
      </c>
      <c r="BA107" s="71">
        <f t="shared" ref="BA107:BF107" si="95">SUM(BA89:BA98)</f>
        <v>2049999.71</v>
      </c>
      <c r="BB107" s="501">
        <f t="shared" si="95"/>
        <v>2049999</v>
      </c>
      <c r="BC107" s="501">
        <f t="shared" si="95"/>
        <v>2818267</v>
      </c>
      <c r="BD107" s="501">
        <f t="shared" si="95"/>
        <v>242570</v>
      </c>
      <c r="BE107" s="501">
        <f t="shared" si="95"/>
        <v>242570</v>
      </c>
      <c r="BF107" s="221">
        <f t="shared" si="95"/>
        <v>242570</v>
      </c>
      <c r="BG107" s="389">
        <f t="shared" ref="BG107:BI107" si="96">SUM(BG89:BG98)</f>
        <v>291084</v>
      </c>
      <c r="BH107" s="389">
        <f t="shared" si="96"/>
        <v>8050500</v>
      </c>
      <c r="BI107" s="389">
        <f t="shared" si="96"/>
        <v>3800000</v>
      </c>
      <c r="BJ107" s="389">
        <f t="shared" ref="BJ107:BL107" si="97">SUM(BJ89:BJ98)</f>
        <v>0</v>
      </c>
      <c r="BK107" s="65">
        <f t="shared" si="97"/>
        <v>0</v>
      </c>
      <c r="BL107" s="65">
        <f t="shared" si="97"/>
        <v>0</v>
      </c>
      <c r="BM107" s="65">
        <f t="shared" ref="BM107:BO107" si="98">SUM(BM89:BM98)</f>
        <v>0</v>
      </c>
      <c r="BN107" s="65">
        <f t="shared" ref="BN107" si="99">SUM(BN89:BN98)</f>
        <v>0</v>
      </c>
      <c r="BO107" s="65">
        <f t="shared" si="98"/>
        <v>1347826</v>
      </c>
      <c r="BP107" s="65">
        <f t="shared" ref="BP107:BQ107" si="100">SUM(BP89:BP98)</f>
        <v>1617391.2</v>
      </c>
      <c r="BQ107" s="65">
        <f t="shared" si="100"/>
        <v>1779130.32</v>
      </c>
      <c r="BR107" s="65">
        <f t="shared" ref="BR107:BS107" si="101">SUM(BR89:BR98)</f>
        <v>3000000</v>
      </c>
      <c r="BS107" s="65">
        <f t="shared" si="101"/>
        <v>3000000</v>
      </c>
      <c r="BT107" s="739">
        <f t="shared" ref="BT107:BV107" si="102">SUM(BT89:BT98)</f>
        <v>1905000</v>
      </c>
      <c r="BU107" s="821">
        <f t="shared" si="102"/>
        <v>1828800</v>
      </c>
      <c r="BV107" s="739">
        <f t="shared" si="102"/>
        <v>7239000</v>
      </c>
    </row>
    <row r="108" spans="1:74" x14ac:dyDescent="0.25">
      <c r="A108" s="289" t="s">
        <v>5</v>
      </c>
      <c r="B108" s="455"/>
      <c r="C108" s="1">
        <f>C103-C104</f>
        <v>-30266300.120000005</v>
      </c>
      <c r="D108" s="1">
        <f t="shared" ref="D108:L108" si="103">D103-D104</f>
        <v>-31982497.409999996</v>
      </c>
      <c r="E108" s="1">
        <f t="shared" si="103"/>
        <v>2802143.9600000083</v>
      </c>
      <c r="F108" s="1">
        <f t="shared" si="103"/>
        <v>-267205</v>
      </c>
      <c r="G108" s="1">
        <f t="shared" ref="G108:H108" si="104">G103-G104</f>
        <v>1298636.599999994</v>
      </c>
      <c r="H108" s="1">
        <f t="shared" si="104"/>
        <v>656869</v>
      </c>
      <c r="I108" s="1">
        <f t="shared" si="50"/>
        <v>716584.36363636365</v>
      </c>
      <c r="J108" s="1">
        <f t="shared" ref="J108" si="105">J103-J104</f>
        <v>3430000</v>
      </c>
      <c r="K108" s="1">
        <v>0</v>
      </c>
      <c r="L108" s="1">
        <f t="shared" si="103"/>
        <v>0</v>
      </c>
      <c r="M108" s="1">
        <f t="shared" si="51"/>
        <v>0</v>
      </c>
      <c r="N108" s="52"/>
      <c r="O108" s="1">
        <f t="shared" ref="O108:P108" si="106">O103-O104</f>
        <v>-840764</v>
      </c>
      <c r="P108" s="1">
        <f t="shared" si="106"/>
        <v>-2213540</v>
      </c>
      <c r="Q108" s="1">
        <f t="shared" ref="Q108:R108" si="107">Q103-Q104</f>
        <v>5772352</v>
      </c>
      <c r="R108" s="1">
        <f t="shared" si="107"/>
        <v>0</v>
      </c>
      <c r="S108" s="1">
        <f t="shared" ref="S108:U108" si="108">S103-S104</f>
        <v>-255764</v>
      </c>
      <c r="T108" s="1">
        <f t="shared" si="108"/>
        <v>-1134495</v>
      </c>
      <c r="U108" s="1">
        <f t="shared" si="108"/>
        <v>0</v>
      </c>
      <c r="V108" s="1">
        <f t="shared" ref="V108:W108" si="109">V103-V104</f>
        <v>0</v>
      </c>
      <c r="W108" s="1">
        <f t="shared" si="109"/>
        <v>0</v>
      </c>
      <c r="X108" s="125"/>
      <c r="AA108" s="1">
        <f t="shared" ref="AA108:AB108" si="110">AA103-AA104</f>
        <v>0</v>
      </c>
      <c r="AB108" s="1">
        <f t="shared" si="110"/>
        <v>0</v>
      </c>
      <c r="AC108" s="1">
        <f t="shared" ref="AC108:AI108" si="111">AC103-AC104</f>
        <v>0</v>
      </c>
      <c r="AD108" s="1">
        <f t="shared" si="111"/>
        <v>0</v>
      </c>
      <c r="AE108" s="1" t="e">
        <f t="shared" si="111"/>
        <v>#DIV/0!</v>
      </c>
      <c r="AF108" s="1">
        <f t="shared" si="111"/>
        <v>1905163</v>
      </c>
      <c r="AG108" s="14">
        <f t="shared" si="111"/>
        <v>885399</v>
      </c>
      <c r="AH108" s="71">
        <f t="shared" si="111"/>
        <v>1768102.8000000119</v>
      </c>
      <c r="AI108" s="340">
        <f t="shared" si="111"/>
        <v>2249856.5360000134</v>
      </c>
      <c r="AJ108" s="319">
        <f t="shared" ref="AJ108:AQ108" si="112">AJ103-AJ104</f>
        <v>0</v>
      </c>
      <c r="AK108" s="340">
        <f t="shared" si="112"/>
        <v>0</v>
      </c>
      <c r="AL108" s="340">
        <f t="shared" si="112"/>
        <v>0</v>
      </c>
      <c r="AM108" s="319">
        <f t="shared" si="112"/>
        <v>3325255</v>
      </c>
      <c r="AN108" s="319"/>
      <c r="AO108" s="319"/>
      <c r="AP108" s="63">
        <f t="shared" si="112"/>
        <v>351041</v>
      </c>
      <c r="AQ108" s="406">
        <f t="shared" si="112"/>
        <v>3642810</v>
      </c>
      <c r="AR108" s="406"/>
      <c r="AT108" s="65">
        <f t="shared" ref="AT108:AU108" si="113">AT103-AT104</f>
        <v>4025712</v>
      </c>
      <c r="AU108" s="65">
        <f t="shared" si="113"/>
        <v>-3674671</v>
      </c>
      <c r="AV108" s="259"/>
      <c r="AW108" s="319">
        <f t="shared" ref="AW108:AX108" si="114">AW103-AW104</f>
        <v>6249857</v>
      </c>
      <c r="AX108" s="319">
        <f t="shared" si="114"/>
        <v>0</v>
      </c>
      <c r="AY108" s="319">
        <f t="shared" ref="AY108:AZ108" si="115">AY103-AY104</f>
        <v>0</v>
      </c>
      <c r="AZ108" s="319">
        <f t="shared" si="115"/>
        <v>0</v>
      </c>
      <c r="BA108" s="319">
        <f t="shared" ref="BA108:BF108" si="116">BA103-BA104</f>
        <v>494911</v>
      </c>
      <c r="BB108" s="501">
        <f t="shared" si="116"/>
        <v>3334857</v>
      </c>
      <c r="BC108" s="510">
        <f t="shared" si="116"/>
        <v>4327314</v>
      </c>
      <c r="BD108" s="510">
        <f t="shared" si="116"/>
        <v>10057999</v>
      </c>
      <c r="BE108" s="501">
        <f t="shared" si="116"/>
        <v>10641850</v>
      </c>
      <c r="BF108" s="221">
        <f t="shared" si="116"/>
        <v>10539343</v>
      </c>
      <c r="BG108" s="389">
        <f t="shared" ref="BG108:BL108" si="117">BG103-BG104</f>
        <v>25371840</v>
      </c>
      <c r="BH108" s="389">
        <f t="shared" si="117"/>
        <v>2473845.6399999857</v>
      </c>
      <c r="BI108" s="389">
        <f t="shared" si="117"/>
        <v>3159839</v>
      </c>
      <c r="BJ108" s="389">
        <f t="shared" si="117"/>
        <v>9425091</v>
      </c>
      <c r="BK108" s="65">
        <f t="shared" si="117"/>
        <v>10950767</v>
      </c>
      <c r="BL108" s="65">
        <f t="shared" si="117"/>
        <v>2128082</v>
      </c>
      <c r="BM108" s="65">
        <f t="shared" ref="BM108:BO108" si="118">BM103-BM104</f>
        <v>4484000</v>
      </c>
      <c r="BN108" s="65">
        <f t="shared" ref="BN108" si="119">BN103-BN104</f>
        <v>0</v>
      </c>
      <c r="BO108" s="65">
        <f t="shared" si="118"/>
        <v>2428445</v>
      </c>
      <c r="BP108" s="65">
        <f t="shared" ref="BP108:BQ108" si="120">BP103-BP104</f>
        <v>-0.31199994683265686</v>
      </c>
      <c r="BQ108" s="65">
        <f t="shared" si="120"/>
        <v>7.6800048351287842E-2</v>
      </c>
      <c r="BR108" s="65">
        <f t="shared" ref="BR108:BS108" si="121">BR103-BR104</f>
        <v>0</v>
      </c>
      <c r="BS108" s="65">
        <f t="shared" si="121"/>
        <v>0</v>
      </c>
      <c r="BT108" s="739">
        <f t="shared" ref="BT108" si="122">BT103-BT104</f>
        <v>3000000</v>
      </c>
      <c r="BU108" s="821">
        <f>BU103-BU104</f>
        <v>0</v>
      </c>
      <c r="BV108" s="739">
        <f>BV103-BV104</f>
        <v>0</v>
      </c>
    </row>
    <row r="109" spans="1:74" x14ac:dyDescent="0.25">
      <c r="N109" s="52"/>
      <c r="Q109" s="1">
        <f>-14997277</f>
        <v>-14997277</v>
      </c>
      <c r="T109" s="52"/>
      <c r="AH109" s="71"/>
      <c r="AI109" s="340"/>
      <c r="AQ109" s="681"/>
      <c r="AR109"/>
      <c r="AS109"/>
      <c r="AT109" s="211"/>
      <c r="AU109"/>
      <c r="AV109"/>
      <c r="BC109" s="507"/>
      <c r="BD109" s="507"/>
      <c r="BH109" s="211"/>
    </row>
    <row r="110" spans="1:74" ht="17.25" x14ac:dyDescent="0.4">
      <c r="W110" s="147" t="s">
        <v>408</v>
      </c>
      <c r="X110" s="148"/>
      <c r="Y110" s="148"/>
      <c r="Z110" s="148"/>
      <c r="AH110" s="71"/>
      <c r="AI110" s="340"/>
      <c r="AQ110" s="681"/>
      <c r="AR110"/>
      <c r="AS110"/>
      <c r="AT110" s="211"/>
      <c r="AU110"/>
      <c r="AV110"/>
      <c r="BC110" s="507"/>
      <c r="BD110" s="507"/>
      <c r="BH110" s="211"/>
    </row>
    <row r="111" spans="1:74" x14ac:dyDescent="0.25">
      <c r="W111" s="148" t="s">
        <v>409</v>
      </c>
      <c r="X111" s="148"/>
      <c r="Y111" s="148"/>
      <c r="Z111" s="148"/>
      <c r="AH111" s="71"/>
      <c r="AI111" s="340"/>
      <c r="AQ111" s="681"/>
      <c r="AR111"/>
      <c r="AS111"/>
      <c r="AT111" s="211"/>
      <c r="AU111"/>
      <c r="AV111"/>
      <c r="BC111" s="507"/>
      <c r="BD111" s="507"/>
      <c r="BH111" s="211"/>
    </row>
    <row r="112" spans="1:74" x14ac:dyDescent="0.25">
      <c r="T112" s="52"/>
      <c r="W112" s="148" t="s">
        <v>410</v>
      </c>
      <c r="X112" s="148"/>
      <c r="Y112" s="148"/>
      <c r="Z112" s="148"/>
      <c r="AH112" s="71"/>
      <c r="AI112" s="340"/>
      <c r="AQ112" s="681"/>
      <c r="AR112"/>
      <c r="AS112"/>
      <c r="AT112" s="211"/>
      <c r="AU112"/>
      <c r="AV112"/>
      <c r="BC112" s="507"/>
      <c r="BD112" s="507"/>
      <c r="BH112" s="211"/>
    </row>
    <row r="113" spans="23:60" x14ac:dyDescent="0.25">
      <c r="W113" s="148" t="s">
        <v>411</v>
      </c>
      <c r="X113" s="148"/>
      <c r="Y113" s="148"/>
      <c r="Z113" s="148"/>
      <c r="AH113" s="71"/>
      <c r="AI113" s="340"/>
      <c r="AQ113" s="681"/>
      <c r="AR113"/>
      <c r="AS113"/>
      <c r="AT113" s="211"/>
      <c r="AU113"/>
      <c r="AV113"/>
      <c r="BC113" s="507"/>
      <c r="BD113" s="507"/>
      <c r="BH113" s="211"/>
    </row>
    <row r="114" spans="23:60" x14ac:dyDescent="0.25">
      <c r="W114" s="148" t="s">
        <v>412</v>
      </c>
      <c r="X114" s="148"/>
      <c r="Y114" s="148"/>
      <c r="Z114" s="148"/>
      <c r="AH114" s="71"/>
      <c r="AI114" s="340"/>
      <c r="AQ114" s="681"/>
      <c r="AR114"/>
      <c r="AS114"/>
      <c r="AT114" s="211"/>
      <c r="AU114"/>
      <c r="AV114"/>
      <c r="BC114" s="507"/>
      <c r="BD114" s="507"/>
      <c r="BH114" s="211"/>
    </row>
    <row r="115" spans="23:60" x14ac:dyDescent="0.25">
      <c r="AH115" s="71"/>
      <c r="AI115" s="340"/>
      <c r="AQ115" s="681"/>
      <c r="AR115"/>
      <c r="AS115"/>
      <c r="AT115" s="211"/>
      <c r="AU115"/>
      <c r="AV115"/>
      <c r="BC115" s="507"/>
      <c r="BD115" s="507"/>
      <c r="BH115" s="211"/>
    </row>
    <row r="116" spans="23:60" x14ac:dyDescent="0.25">
      <c r="AH116" s="71"/>
      <c r="AI116" s="340"/>
      <c r="AQ116" s="681"/>
      <c r="AR116"/>
      <c r="AS116"/>
      <c r="AT116" s="211"/>
      <c r="AU116"/>
      <c r="AV116"/>
      <c r="BC116" s="507"/>
      <c r="BD116" s="507"/>
      <c r="BH116" s="211"/>
    </row>
    <row r="117" spans="23:60" x14ac:dyDescent="0.25">
      <c r="AH117" s="71"/>
      <c r="AI117" s="340"/>
      <c r="AQ117" s="681"/>
      <c r="AR117"/>
      <c r="AS117"/>
      <c r="AT117" s="211"/>
      <c r="AU117"/>
      <c r="AV117"/>
      <c r="BC117" s="507"/>
      <c r="BD117" s="507"/>
      <c r="BH117" s="211"/>
    </row>
    <row r="118" spans="23:60" x14ac:dyDescent="0.25">
      <c r="AH118" s="71"/>
      <c r="AI118" s="340"/>
      <c r="AQ118" s="681"/>
      <c r="AR118"/>
      <c r="AS118"/>
      <c r="AT118" s="211"/>
      <c r="AU118"/>
      <c r="AV118"/>
      <c r="BC118" s="507"/>
      <c r="BD118" s="507"/>
      <c r="BH118" s="211"/>
    </row>
    <row r="119" spans="23:60" x14ac:dyDescent="0.25">
      <c r="AH119" s="71"/>
      <c r="AI119" s="340"/>
      <c r="AQ119" s="681"/>
      <c r="AR119"/>
      <c r="AS119"/>
      <c r="AT119" s="211"/>
      <c r="AU119"/>
      <c r="AV119"/>
      <c r="BC119" s="507"/>
      <c r="BD119" s="507"/>
      <c r="BH119" s="211"/>
    </row>
    <row r="120" spans="23:60" x14ac:dyDescent="0.25">
      <c r="AH120" s="71"/>
      <c r="AI120" s="340"/>
      <c r="AQ120" s="681"/>
      <c r="AR120"/>
      <c r="AS120"/>
      <c r="AT120" s="211"/>
      <c r="AU120"/>
      <c r="AV120"/>
      <c r="BC120" s="507"/>
      <c r="BD120" s="507"/>
      <c r="BH120" s="211"/>
    </row>
    <row r="121" spans="23:60" x14ac:dyDescent="0.25">
      <c r="AH121" s="71"/>
      <c r="AI121" s="340"/>
      <c r="AQ121" s="681"/>
      <c r="AR121"/>
      <c r="AS121"/>
      <c r="AT121" s="211"/>
      <c r="AU121"/>
      <c r="AV121"/>
      <c r="BC121" s="507"/>
      <c r="BD121" s="507"/>
      <c r="BH121" s="211"/>
    </row>
    <row r="122" spans="23:60" x14ac:dyDescent="0.25">
      <c r="AH122" s="71"/>
      <c r="AI122" s="340"/>
      <c r="AQ122" s="681"/>
      <c r="AR122"/>
      <c r="AS122"/>
      <c r="AT122" s="211"/>
      <c r="AU122"/>
      <c r="AV122"/>
      <c r="BC122" s="507"/>
      <c r="BD122" s="507"/>
      <c r="BH122" s="211"/>
    </row>
    <row r="123" spans="23:60" x14ac:dyDescent="0.25">
      <c r="AH123" s="71"/>
      <c r="AI123" s="340"/>
      <c r="AQ123" s="681"/>
      <c r="AR123"/>
      <c r="AS123"/>
      <c r="AT123" s="211"/>
      <c r="AU123"/>
      <c r="AV123"/>
      <c r="BC123" s="507"/>
      <c r="BD123" s="507"/>
      <c r="BH123" s="211"/>
    </row>
    <row r="124" spans="23:60" x14ac:dyDescent="0.25">
      <c r="AH124" s="71"/>
      <c r="AI124" s="340"/>
      <c r="AQ124" s="681"/>
      <c r="AR124"/>
      <c r="AS124"/>
      <c r="AT124" s="211"/>
      <c r="AU124"/>
      <c r="AV124"/>
      <c r="BC124" s="507"/>
      <c r="BD124" s="507"/>
      <c r="BH124" s="211"/>
    </row>
    <row r="125" spans="23:60" x14ac:dyDescent="0.25">
      <c r="AH125" s="71"/>
      <c r="AI125" s="340"/>
      <c r="AQ125" s="681"/>
      <c r="AR125"/>
      <c r="AS125"/>
      <c r="AT125" s="211"/>
      <c r="AU125"/>
      <c r="AV125"/>
      <c r="BC125" s="507"/>
      <c r="BD125" s="507"/>
      <c r="BH125" s="211"/>
    </row>
    <row r="126" spans="23:60" x14ac:dyDescent="0.25">
      <c r="AH126" s="71"/>
      <c r="AI126" s="340"/>
      <c r="AQ126" s="681"/>
      <c r="AR126"/>
      <c r="AS126"/>
      <c r="AT126" s="211"/>
      <c r="AU126"/>
      <c r="AV126"/>
      <c r="BC126" s="507"/>
      <c r="BD126" s="507"/>
      <c r="BH126" s="211"/>
    </row>
    <row r="127" spans="23:60" x14ac:dyDescent="0.25">
      <c r="AH127" s="71"/>
      <c r="AI127" s="340"/>
      <c r="AQ127" s="681"/>
      <c r="AR127"/>
      <c r="AS127"/>
      <c r="AT127" s="211"/>
      <c r="AU127"/>
      <c r="AV127"/>
      <c r="BC127" s="507"/>
      <c r="BD127" s="507"/>
      <c r="BH127" s="211"/>
    </row>
    <row r="128" spans="23:60" x14ac:dyDescent="0.25">
      <c r="AH128" s="71"/>
      <c r="AI128" s="340"/>
      <c r="AQ128" s="681"/>
      <c r="AR128"/>
      <c r="AS128"/>
      <c r="AT128" s="211"/>
      <c r="AU128"/>
      <c r="AV128"/>
      <c r="BC128" s="507"/>
      <c r="BD128" s="507"/>
      <c r="BH128" s="211"/>
    </row>
    <row r="129" spans="34:60" x14ac:dyDescent="0.25">
      <c r="AH129" s="71"/>
      <c r="AI129" s="340"/>
      <c r="AQ129" s="681"/>
      <c r="AR129"/>
      <c r="AS129"/>
      <c r="AT129" s="211"/>
      <c r="AU129"/>
      <c r="AV129"/>
      <c r="BC129" s="507"/>
      <c r="BD129" s="507"/>
      <c r="BH129" s="211"/>
    </row>
    <row r="130" spans="34:60" x14ac:dyDescent="0.25">
      <c r="AH130" s="71"/>
      <c r="AI130" s="340"/>
      <c r="AQ130" s="681"/>
      <c r="AR130"/>
      <c r="AS130"/>
      <c r="AT130" s="211"/>
      <c r="AU130"/>
      <c r="AV130"/>
      <c r="BC130" s="507"/>
      <c r="BD130" s="507"/>
      <c r="BH130" s="211"/>
    </row>
    <row r="131" spans="34:60" x14ac:dyDescent="0.25">
      <c r="AH131" s="71"/>
      <c r="AI131" s="340"/>
      <c r="AQ131" s="681"/>
      <c r="AR131"/>
      <c r="AS131"/>
      <c r="AT131" s="211"/>
      <c r="AU131"/>
      <c r="AV131"/>
      <c r="BC131" s="507"/>
      <c r="BD131" s="507"/>
      <c r="BH131" s="211"/>
    </row>
    <row r="132" spans="34:60" x14ac:dyDescent="0.25">
      <c r="AH132" s="71"/>
      <c r="AI132" s="340"/>
      <c r="AQ132" s="681"/>
      <c r="AR132"/>
      <c r="AS132"/>
      <c r="AT132" s="211"/>
      <c r="AU132"/>
      <c r="AV132"/>
      <c r="BC132" s="507"/>
      <c r="BD132" s="507"/>
      <c r="BH132" s="211"/>
    </row>
    <row r="133" spans="34:60" x14ac:dyDescent="0.25">
      <c r="AH133" s="71"/>
      <c r="AI133" s="340"/>
      <c r="AQ133" s="681"/>
      <c r="AR133"/>
      <c r="AS133"/>
      <c r="AT133" s="211"/>
      <c r="AU133"/>
      <c r="AV133"/>
      <c r="BC133" s="507"/>
      <c r="BD133" s="507"/>
      <c r="BH133" s="211"/>
    </row>
    <row r="134" spans="34:60" x14ac:dyDescent="0.25">
      <c r="AH134" s="71"/>
      <c r="AI134" s="340"/>
      <c r="AQ134" s="681"/>
      <c r="AR134"/>
      <c r="AS134"/>
      <c r="AT134" s="211"/>
      <c r="AU134"/>
      <c r="AV134"/>
      <c r="BC134" s="507"/>
      <c r="BD134" s="507"/>
      <c r="BH134" s="211"/>
    </row>
    <row r="135" spans="34:60" x14ac:dyDescent="0.25">
      <c r="AH135" s="71"/>
      <c r="AI135" s="340"/>
      <c r="AQ135" s="681"/>
      <c r="AR135"/>
      <c r="AS135"/>
      <c r="AT135" s="211"/>
      <c r="AU135"/>
      <c r="AV135"/>
      <c r="BC135" s="507"/>
      <c r="BD135" s="507"/>
      <c r="BH135" s="211"/>
    </row>
    <row r="136" spans="34:60" x14ac:dyDescent="0.25">
      <c r="AH136" s="71"/>
      <c r="AI136" s="340"/>
      <c r="AQ136" s="681"/>
      <c r="AR136"/>
      <c r="AS136"/>
      <c r="AT136" s="211"/>
      <c r="AU136"/>
      <c r="AV136"/>
      <c r="BC136" s="507"/>
      <c r="BD136" s="507"/>
      <c r="BH136" s="211"/>
    </row>
    <row r="137" spans="34:60" x14ac:dyDescent="0.25">
      <c r="AH137" s="71"/>
      <c r="AI137" s="340"/>
      <c r="AQ137" s="681"/>
      <c r="AR137"/>
      <c r="AS137"/>
      <c r="AT137" s="211"/>
      <c r="AU137"/>
      <c r="AV137"/>
      <c r="BC137" s="507"/>
      <c r="BD137" s="507"/>
      <c r="BH137" s="211"/>
    </row>
    <row r="138" spans="34:60" x14ac:dyDescent="0.25">
      <c r="AH138" s="71"/>
      <c r="AI138" s="340"/>
      <c r="AQ138" s="681"/>
      <c r="AR138"/>
      <c r="AS138"/>
      <c r="AT138" s="211"/>
      <c r="AU138"/>
      <c r="AV138"/>
      <c r="BC138" s="507"/>
      <c r="BD138" s="507"/>
      <c r="BH138" s="211"/>
    </row>
    <row r="139" spans="34:60" x14ac:dyDescent="0.25">
      <c r="AH139" s="71"/>
      <c r="AI139" s="340"/>
      <c r="AQ139" s="681"/>
      <c r="AR139"/>
      <c r="AS139"/>
      <c r="AT139" s="211"/>
      <c r="AU139"/>
      <c r="AV139"/>
      <c r="BC139" s="507"/>
      <c r="BD139" s="507"/>
      <c r="BH139" s="211"/>
    </row>
    <row r="140" spans="34:60" x14ac:dyDescent="0.25">
      <c r="AH140" s="71"/>
      <c r="AI140" s="340"/>
      <c r="AQ140" s="681"/>
      <c r="AR140"/>
      <c r="AS140"/>
      <c r="AT140" s="211"/>
      <c r="AU140"/>
      <c r="AV140"/>
      <c r="BC140" s="507"/>
      <c r="BD140" s="507"/>
      <c r="BH140" s="211"/>
    </row>
    <row r="141" spans="34:60" x14ac:dyDescent="0.25">
      <c r="AH141" s="71"/>
      <c r="AI141" s="340"/>
      <c r="AQ141" s="681"/>
      <c r="AR141"/>
      <c r="AS141"/>
      <c r="AT141" s="211"/>
      <c r="AU141"/>
      <c r="AV141"/>
      <c r="BC141" s="507"/>
      <c r="BD141" s="507"/>
      <c r="BH141" s="211"/>
    </row>
    <row r="142" spans="34:60" x14ac:dyDescent="0.25">
      <c r="AH142" s="71"/>
      <c r="AI142" s="340"/>
      <c r="AQ142" s="681"/>
      <c r="AR142"/>
      <c r="AS142"/>
      <c r="AT142" s="211"/>
      <c r="AU142"/>
      <c r="AV142"/>
      <c r="BC142" s="507"/>
      <c r="BD142" s="507"/>
      <c r="BH142" s="211"/>
    </row>
    <row r="143" spans="34:60" x14ac:dyDescent="0.25">
      <c r="AH143" s="71"/>
      <c r="AI143" s="340"/>
      <c r="AQ143" s="681"/>
      <c r="AR143"/>
      <c r="AS143"/>
      <c r="AT143" s="211"/>
      <c r="AU143"/>
      <c r="AV143"/>
      <c r="BC143" s="507"/>
      <c r="BD143" s="507"/>
      <c r="BH143" s="211"/>
    </row>
    <row r="144" spans="34:60" x14ac:dyDescent="0.25">
      <c r="AH144" s="71"/>
      <c r="AI144" s="340"/>
      <c r="AQ144" s="681"/>
      <c r="AR144"/>
      <c r="AS144"/>
      <c r="AT144" s="211"/>
      <c r="AU144"/>
      <c r="AV144"/>
      <c r="BC144" s="507"/>
      <c r="BD144" s="507"/>
      <c r="BH144" s="211"/>
    </row>
    <row r="145" spans="34:60" x14ac:dyDescent="0.25">
      <c r="AH145" s="71"/>
      <c r="AI145" s="340"/>
      <c r="AQ145" s="681"/>
      <c r="AR145"/>
      <c r="AS145"/>
      <c r="AT145" s="211"/>
      <c r="AU145"/>
      <c r="AV145"/>
      <c r="BC145" s="507"/>
      <c r="BD145" s="507"/>
      <c r="BH145" s="211"/>
    </row>
    <row r="146" spans="34:60" x14ac:dyDescent="0.25">
      <c r="AH146" s="71"/>
      <c r="AI146" s="340"/>
      <c r="AQ146" s="681"/>
      <c r="AR146"/>
      <c r="AS146"/>
      <c r="AT146" s="211"/>
      <c r="AU146"/>
      <c r="AV146"/>
      <c r="BC146" s="507"/>
      <c r="BD146" s="507"/>
      <c r="BH146" s="211"/>
    </row>
    <row r="147" spans="34:60" x14ac:dyDescent="0.25">
      <c r="AH147" s="71"/>
      <c r="AI147" s="340"/>
      <c r="AQ147" s="681"/>
      <c r="AR147"/>
      <c r="AS147"/>
      <c r="AT147" s="211"/>
      <c r="AU147"/>
      <c r="AV147"/>
      <c r="BC147" s="507"/>
      <c r="BD147" s="507"/>
      <c r="BH147" s="211"/>
    </row>
    <row r="148" spans="34:60" x14ac:dyDescent="0.25">
      <c r="AH148" s="71"/>
      <c r="AI148" s="340"/>
      <c r="AQ148" s="681"/>
      <c r="AR148"/>
      <c r="AS148"/>
      <c r="AT148" s="211"/>
      <c r="AU148"/>
      <c r="AV148"/>
      <c r="BC148" s="507"/>
      <c r="BD148" s="507"/>
      <c r="BH148" s="211"/>
    </row>
    <row r="149" spans="34:60" x14ac:dyDescent="0.25">
      <c r="AH149" s="71"/>
      <c r="AI149" s="340"/>
      <c r="AQ149" s="681"/>
      <c r="AR149"/>
      <c r="AS149"/>
      <c r="AT149" s="211"/>
      <c r="AU149"/>
      <c r="AV149"/>
      <c r="BC149" s="507"/>
      <c r="BD149" s="507"/>
      <c r="BH149" s="211"/>
    </row>
    <row r="150" spans="34:60" x14ac:dyDescent="0.25">
      <c r="AH150" s="71"/>
      <c r="AI150" s="340"/>
      <c r="AQ150" s="681"/>
      <c r="AR150"/>
      <c r="AS150"/>
      <c r="AT150" s="211"/>
      <c r="AU150"/>
      <c r="AV150"/>
      <c r="BC150" s="507"/>
      <c r="BD150" s="507"/>
      <c r="BH150" s="211"/>
    </row>
    <row r="151" spans="34:60" x14ac:dyDescent="0.25">
      <c r="AH151" s="71"/>
      <c r="AI151" s="340"/>
      <c r="AQ151" s="681"/>
      <c r="AR151"/>
      <c r="AS151"/>
      <c r="AT151" s="211"/>
      <c r="AU151"/>
      <c r="AV151"/>
      <c r="BC151" s="507"/>
      <c r="BD151" s="507"/>
      <c r="BH151" s="211"/>
    </row>
    <row r="152" spans="34:60" x14ac:dyDescent="0.25">
      <c r="AH152" s="71"/>
      <c r="AI152" s="340"/>
      <c r="AQ152" s="681"/>
      <c r="AR152"/>
      <c r="AS152"/>
      <c r="AT152" s="211"/>
      <c r="AU152"/>
      <c r="AV152"/>
      <c r="BC152" s="507"/>
      <c r="BD152" s="507"/>
      <c r="BH152" s="211"/>
    </row>
    <row r="153" spans="34:60" x14ac:dyDescent="0.25">
      <c r="AH153" s="71"/>
      <c r="AI153" s="340"/>
      <c r="AQ153" s="681"/>
      <c r="AR153"/>
      <c r="AS153"/>
      <c r="AT153" s="211"/>
      <c r="AU153"/>
      <c r="AV153"/>
      <c r="BC153" s="507"/>
      <c r="BD153" s="507"/>
      <c r="BH153" s="211"/>
    </row>
    <row r="154" spans="34:60" x14ac:dyDescent="0.25">
      <c r="AH154" s="71"/>
      <c r="AI154" s="340"/>
      <c r="AQ154" s="681"/>
      <c r="AR154"/>
      <c r="AS154"/>
      <c r="AT154" s="211"/>
      <c r="AU154"/>
      <c r="AV154"/>
      <c r="BC154" s="507"/>
      <c r="BD154" s="507"/>
      <c r="BH154" s="211"/>
    </row>
    <row r="155" spans="34:60" x14ac:dyDescent="0.25">
      <c r="AH155" s="71"/>
      <c r="AI155" s="340"/>
      <c r="AQ155" s="681"/>
      <c r="AR155"/>
      <c r="AS155"/>
      <c r="AT155" s="211"/>
      <c r="AU155"/>
      <c r="AV155"/>
      <c r="BC155" s="507"/>
      <c r="BD155" s="507"/>
      <c r="BH155" s="211"/>
    </row>
    <row r="156" spans="34:60" x14ac:dyDescent="0.25">
      <c r="AH156" s="71"/>
      <c r="AI156" s="340"/>
      <c r="AQ156" s="681"/>
      <c r="AR156"/>
      <c r="AS156"/>
      <c r="AT156" s="211"/>
      <c r="AU156"/>
      <c r="AV156"/>
      <c r="BC156" s="507"/>
      <c r="BD156" s="507"/>
      <c r="BH156" s="211"/>
    </row>
    <row r="157" spans="34:60" x14ac:dyDescent="0.25">
      <c r="AH157" s="71"/>
      <c r="AI157" s="340"/>
      <c r="AQ157" s="681"/>
      <c r="AR157"/>
      <c r="AS157"/>
      <c r="AT157" s="211"/>
      <c r="AU157"/>
      <c r="AV157"/>
      <c r="BC157" s="507"/>
      <c r="BD157" s="507"/>
      <c r="BH157" s="211"/>
    </row>
    <row r="158" spans="34:60" x14ac:dyDescent="0.25">
      <c r="AH158" s="71"/>
      <c r="AI158" s="340"/>
      <c r="AQ158" s="681"/>
      <c r="AR158"/>
      <c r="AS158"/>
      <c r="AT158" s="211"/>
      <c r="AU158"/>
      <c r="AV158"/>
      <c r="BC158" s="507"/>
      <c r="BD158" s="507"/>
      <c r="BH158" s="211"/>
    </row>
    <row r="159" spans="34:60" x14ac:dyDescent="0.25">
      <c r="AH159" s="71"/>
      <c r="AI159" s="340"/>
      <c r="AQ159" s="681"/>
      <c r="AR159"/>
      <c r="AS159"/>
      <c r="AT159" s="211"/>
      <c r="AU159"/>
      <c r="AV159"/>
      <c r="BC159" s="507"/>
      <c r="BD159" s="507"/>
      <c r="BH159" s="211"/>
    </row>
    <row r="160" spans="34:60" x14ac:dyDescent="0.25">
      <c r="AH160" s="71"/>
      <c r="AI160" s="340"/>
      <c r="AQ160" s="681"/>
      <c r="AR160"/>
      <c r="AS160"/>
      <c r="AT160" s="211"/>
      <c r="AU160"/>
      <c r="AV160"/>
      <c r="BC160" s="507"/>
      <c r="BD160" s="507"/>
      <c r="BH160" s="211"/>
    </row>
    <row r="161" spans="34:60" x14ac:dyDescent="0.25">
      <c r="AH161" s="71"/>
      <c r="AI161" s="340"/>
      <c r="AQ161" s="681"/>
      <c r="AR161"/>
      <c r="AS161"/>
      <c r="AT161" s="211"/>
      <c r="AU161"/>
      <c r="AV161"/>
      <c r="BC161" s="507"/>
      <c r="BD161" s="507"/>
      <c r="BH161" s="211"/>
    </row>
    <row r="162" spans="34:60" x14ac:dyDescent="0.25">
      <c r="AH162" s="71"/>
      <c r="AI162" s="340"/>
      <c r="AQ162" s="681"/>
      <c r="AR162"/>
      <c r="AS162"/>
      <c r="AT162" s="211"/>
      <c r="AU162"/>
      <c r="AV162"/>
      <c r="BC162" s="507"/>
      <c r="BD162" s="507"/>
      <c r="BH162" s="211"/>
    </row>
    <row r="163" spans="34:60" x14ac:dyDescent="0.25">
      <c r="AH163" s="71"/>
      <c r="AI163" s="340"/>
      <c r="AQ163" s="681"/>
      <c r="AR163"/>
      <c r="AS163"/>
      <c r="AT163" s="211"/>
      <c r="AU163"/>
      <c r="AV163"/>
      <c r="BC163" s="507"/>
      <c r="BD163" s="507"/>
      <c r="BH163" s="211"/>
    </row>
    <row r="164" spans="34:60" x14ac:dyDescent="0.25">
      <c r="AH164" s="71"/>
      <c r="AI164" s="340"/>
      <c r="AQ164" s="681"/>
      <c r="AR164"/>
      <c r="AS164"/>
      <c r="AT164" s="211"/>
      <c r="AU164"/>
      <c r="AV164"/>
      <c r="BC164" s="507"/>
      <c r="BD164" s="507"/>
      <c r="BH164" s="211"/>
    </row>
    <row r="165" spans="34:60" x14ac:dyDescent="0.25">
      <c r="AH165" s="71"/>
      <c r="AI165" s="340"/>
      <c r="AQ165" s="681"/>
      <c r="AR165"/>
      <c r="AS165"/>
      <c r="AT165" s="211"/>
      <c r="AU165"/>
      <c r="AV165"/>
      <c r="BC165" s="507"/>
      <c r="BD165" s="507"/>
      <c r="BH165" s="211"/>
    </row>
    <row r="166" spans="34:60" x14ac:dyDescent="0.25">
      <c r="AH166" s="71"/>
      <c r="AI166" s="340"/>
      <c r="AQ166" s="681"/>
      <c r="AR166"/>
      <c r="AS166"/>
      <c r="AT166" s="211"/>
      <c r="AU166"/>
      <c r="AV166"/>
      <c r="BC166" s="507"/>
      <c r="BD166" s="507"/>
      <c r="BH166" s="211"/>
    </row>
    <row r="167" spans="34:60" x14ac:dyDescent="0.25">
      <c r="AH167" s="71"/>
      <c r="AI167" s="340"/>
      <c r="AQ167" s="681"/>
      <c r="AR167"/>
      <c r="AS167"/>
      <c r="AT167" s="211"/>
      <c r="AU167"/>
      <c r="AV167"/>
      <c r="BC167" s="507"/>
      <c r="BD167" s="507"/>
      <c r="BH167" s="211"/>
    </row>
    <row r="168" spans="34:60" x14ac:dyDescent="0.25">
      <c r="AH168" s="71"/>
      <c r="AI168" s="340"/>
      <c r="AQ168" s="681"/>
      <c r="AR168"/>
      <c r="AS168"/>
      <c r="AT168" s="211"/>
      <c r="AU168"/>
      <c r="AV168"/>
      <c r="BC168" s="507"/>
      <c r="BD168" s="507"/>
      <c r="BH168" s="211"/>
    </row>
    <row r="169" spans="34:60" x14ac:dyDescent="0.25">
      <c r="AH169" s="71"/>
      <c r="AI169" s="340"/>
      <c r="AQ169" s="681"/>
      <c r="AR169"/>
      <c r="AS169"/>
      <c r="AT169" s="211"/>
      <c r="AU169"/>
      <c r="AV169"/>
      <c r="BC169" s="507"/>
      <c r="BD169" s="507"/>
      <c r="BH169" s="211"/>
    </row>
    <row r="170" spans="34:60" x14ac:dyDescent="0.25">
      <c r="AH170" s="71"/>
      <c r="AI170" s="340"/>
      <c r="AQ170" s="681"/>
      <c r="AR170"/>
      <c r="AS170"/>
      <c r="AT170" s="211"/>
      <c r="AU170"/>
      <c r="AV170"/>
      <c r="BC170" s="507"/>
      <c r="BD170" s="507"/>
      <c r="BH170" s="211"/>
    </row>
    <row r="171" spans="34:60" x14ac:dyDescent="0.25">
      <c r="AQ171" s="681"/>
      <c r="AR171"/>
      <c r="AS171"/>
      <c r="AT171" s="211"/>
      <c r="AU171"/>
      <c r="AV171"/>
      <c r="BC171" s="507"/>
      <c r="BD171" s="507"/>
      <c r="BH171" s="211"/>
    </row>
    <row r="172" spans="34:60" x14ac:dyDescent="0.25">
      <c r="AQ172" s="681"/>
      <c r="AR172"/>
      <c r="AS172"/>
      <c r="AT172" s="211"/>
      <c r="AU172"/>
      <c r="AV172"/>
      <c r="BC172" s="507"/>
      <c r="BD172" s="507"/>
      <c r="BH172" s="211"/>
    </row>
    <row r="173" spans="34:60" x14ac:dyDescent="0.25">
      <c r="AQ173" s="681"/>
      <c r="AR173"/>
      <c r="AS173"/>
      <c r="AT173" s="211"/>
      <c r="AU173"/>
      <c r="AV173"/>
      <c r="BC173" s="507"/>
      <c r="BD173" s="507"/>
      <c r="BH173" s="211"/>
    </row>
    <row r="174" spans="34:60" x14ac:dyDescent="0.25">
      <c r="AQ174" s="681"/>
      <c r="AR174"/>
      <c r="AS174"/>
      <c r="AT174" s="211"/>
      <c r="AU174"/>
      <c r="AV174"/>
      <c r="BC174" s="507"/>
      <c r="BD174" s="507"/>
      <c r="BH174" s="211"/>
    </row>
    <row r="175" spans="34:60" x14ac:dyDescent="0.25">
      <c r="AQ175" s="681"/>
      <c r="AR175"/>
      <c r="AS175"/>
      <c r="AT175" s="211"/>
      <c r="AU175"/>
      <c r="AV175"/>
      <c r="BC175" s="507"/>
      <c r="BD175" s="507"/>
      <c r="BH175" s="211"/>
    </row>
    <row r="176" spans="34:60" x14ac:dyDescent="0.25">
      <c r="AQ176" s="681"/>
      <c r="AR176"/>
      <c r="AS176"/>
      <c r="AT176" s="211"/>
      <c r="AU176"/>
      <c r="AV176"/>
      <c r="BC176" s="507"/>
      <c r="BD176" s="507"/>
      <c r="BH176" s="211"/>
    </row>
    <row r="177" spans="43:60" x14ac:dyDescent="0.25">
      <c r="AQ177" s="681"/>
      <c r="AR177"/>
      <c r="AS177"/>
      <c r="AT177" s="211"/>
      <c r="AU177"/>
      <c r="AV177"/>
      <c r="BC177" s="507"/>
      <c r="BD177" s="507"/>
      <c r="BH177" s="211"/>
    </row>
    <row r="178" spans="43:60" x14ac:dyDescent="0.25">
      <c r="AQ178" s="681"/>
      <c r="AR178"/>
      <c r="AS178"/>
      <c r="AT178" s="211"/>
      <c r="AU178"/>
      <c r="AV178"/>
      <c r="BC178" s="507"/>
      <c r="BD178" s="507"/>
      <c r="BH178" s="211"/>
    </row>
    <row r="179" spans="43:60" x14ac:dyDescent="0.25">
      <c r="AQ179" s="681"/>
      <c r="AR179"/>
      <c r="AS179"/>
      <c r="AT179" s="211"/>
      <c r="AU179"/>
      <c r="AV179"/>
      <c r="BC179" s="507"/>
      <c r="BD179" s="507"/>
      <c r="BH179" s="211"/>
    </row>
    <row r="180" spans="43:60" x14ac:dyDescent="0.25">
      <c r="AQ180" s="681"/>
      <c r="AR180"/>
      <c r="AS180"/>
      <c r="AT180" s="211"/>
      <c r="AU180"/>
      <c r="AV180"/>
      <c r="BC180" s="502"/>
      <c r="BD180" s="502"/>
      <c r="BH180" s="211"/>
    </row>
    <row r="181" spans="43:60" x14ac:dyDescent="0.25">
      <c r="AQ181" s="681"/>
      <c r="AR181"/>
      <c r="AS181"/>
      <c r="AT181" s="211"/>
      <c r="AU181"/>
      <c r="AV181"/>
      <c r="BH181" s="211"/>
    </row>
    <row r="182" spans="43:60" x14ac:dyDescent="0.25">
      <c r="AQ182" s="681"/>
      <c r="AR182"/>
      <c r="AS182"/>
      <c r="AT182" s="211"/>
      <c r="AU182"/>
      <c r="AV182"/>
      <c r="BH182" s="211"/>
    </row>
    <row r="183" spans="43:60" x14ac:dyDescent="0.25">
      <c r="AQ183" s="681"/>
      <c r="AR183"/>
      <c r="AS183"/>
      <c r="AT183" s="211"/>
      <c r="AU183"/>
      <c r="AV183"/>
      <c r="BH183" s="211"/>
    </row>
    <row r="184" spans="43:60" x14ac:dyDescent="0.25">
      <c r="AQ184" s="681"/>
      <c r="AR184"/>
      <c r="AS184"/>
      <c r="AT184" s="211"/>
      <c r="AU184"/>
      <c r="AV184"/>
      <c r="BH184" s="211"/>
    </row>
    <row r="185" spans="43:60" x14ac:dyDescent="0.25">
      <c r="AQ185" s="681"/>
      <c r="AR185"/>
      <c r="AS185"/>
      <c r="AT185" s="211"/>
      <c r="AU185"/>
      <c r="AV185"/>
      <c r="BH185" s="211"/>
    </row>
    <row r="186" spans="43:60" x14ac:dyDescent="0.25">
      <c r="AQ186" s="681"/>
      <c r="AR186"/>
      <c r="AS186"/>
      <c r="AT186" s="211"/>
      <c r="AU186"/>
      <c r="AV186"/>
      <c r="BH186" s="211"/>
    </row>
    <row r="187" spans="43:60" x14ac:dyDescent="0.25">
      <c r="AQ187" s="681"/>
      <c r="AR187"/>
      <c r="AS187"/>
      <c r="AT187" s="211"/>
      <c r="AU187"/>
      <c r="AV187"/>
      <c r="BH187" s="211"/>
    </row>
    <row r="188" spans="43:60" x14ac:dyDescent="0.25">
      <c r="AQ188" s="681"/>
      <c r="AR188"/>
      <c r="AS188"/>
      <c r="AT188" s="211"/>
      <c r="AU188"/>
      <c r="AV188"/>
      <c r="BH188" s="211"/>
    </row>
    <row r="189" spans="43:60" x14ac:dyDescent="0.25">
      <c r="AQ189" s="681"/>
      <c r="AR189"/>
      <c r="AS189"/>
      <c r="AT189" s="211"/>
      <c r="AU189"/>
      <c r="AV189"/>
      <c r="BH189" s="211"/>
    </row>
    <row r="190" spans="43:60" x14ac:dyDescent="0.25">
      <c r="AQ190" s="681"/>
      <c r="AR190"/>
      <c r="AS190"/>
      <c r="AT190" s="211"/>
      <c r="AU190"/>
      <c r="AV190"/>
      <c r="BH190" s="211"/>
    </row>
    <row r="191" spans="43:60" x14ac:dyDescent="0.25">
      <c r="AQ191" s="681"/>
      <c r="AR191"/>
      <c r="AS191"/>
      <c r="AT191" s="211"/>
      <c r="AU191"/>
      <c r="AV191"/>
      <c r="BH191" s="211"/>
    </row>
    <row r="192" spans="43:60" x14ac:dyDescent="0.25">
      <c r="AQ192" s="681"/>
      <c r="AR192"/>
      <c r="AS192"/>
      <c r="AT192" s="211"/>
      <c r="AU192"/>
      <c r="AV192"/>
      <c r="BH192" s="211"/>
    </row>
    <row r="193" spans="43:60" x14ac:dyDescent="0.25">
      <c r="AQ193" s="681"/>
      <c r="AR193"/>
      <c r="AS193"/>
      <c r="AT193" s="211"/>
      <c r="AU193"/>
      <c r="AV193"/>
      <c r="BH193" s="211"/>
    </row>
    <row r="194" spans="43:60" x14ac:dyDescent="0.25">
      <c r="AQ194" s="681"/>
      <c r="AR194"/>
      <c r="AS194"/>
      <c r="AT194" s="211"/>
      <c r="AU194"/>
      <c r="AV194"/>
      <c r="BH194" s="211"/>
    </row>
    <row r="195" spans="43:60" x14ac:dyDescent="0.25">
      <c r="AQ195" s="681"/>
      <c r="AR195"/>
      <c r="AS195"/>
      <c r="AT195" s="211"/>
      <c r="AU195"/>
      <c r="AV195"/>
      <c r="BH195" s="211"/>
    </row>
    <row r="196" spans="43:60" x14ac:dyDescent="0.25">
      <c r="AQ196" s="681"/>
      <c r="AR196"/>
      <c r="AS196"/>
      <c r="AT196" s="211"/>
      <c r="AU196"/>
      <c r="AV196"/>
      <c r="BH196" s="211"/>
    </row>
    <row r="197" spans="43:60" x14ac:dyDescent="0.25">
      <c r="AQ197" s="681"/>
      <c r="AR197"/>
      <c r="AS197"/>
      <c r="AT197" s="211"/>
      <c r="AU197"/>
      <c r="AV197"/>
      <c r="BH197" s="211"/>
    </row>
    <row r="198" spans="43:60" x14ac:dyDescent="0.25">
      <c r="AQ198" s="681"/>
      <c r="AR198"/>
      <c r="AS198"/>
      <c r="AT198" s="211"/>
      <c r="AU198"/>
      <c r="AV198"/>
      <c r="BH198" s="211"/>
    </row>
    <row r="199" spans="43:60" x14ac:dyDescent="0.25">
      <c r="AQ199" s="681"/>
      <c r="AR199"/>
      <c r="AS199"/>
      <c r="AT199" s="211"/>
      <c r="AU199"/>
      <c r="AV199"/>
      <c r="BH199" s="211"/>
    </row>
    <row r="200" spans="43:60" x14ac:dyDescent="0.25">
      <c r="AQ200" s="681"/>
      <c r="AR200"/>
      <c r="AS200"/>
      <c r="AT200" s="211"/>
      <c r="AU200"/>
      <c r="AV200"/>
      <c r="BH200" s="211"/>
    </row>
    <row r="201" spans="43:60" x14ac:dyDescent="0.25">
      <c r="AQ201" s="681"/>
      <c r="AR201"/>
      <c r="AS201"/>
      <c r="AT201" s="211"/>
      <c r="AU201"/>
      <c r="AV201"/>
      <c r="BH201" s="211"/>
    </row>
    <row r="202" spans="43:60" x14ac:dyDescent="0.25">
      <c r="AQ202" s="681"/>
      <c r="AR202"/>
      <c r="AS202"/>
      <c r="AT202" s="211"/>
      <c r="AU202"/>
      <c r="AV202"/>
      <c r="BH202" s="379"/>
    </row>
    <row r="203" spans="43:60" x14ac:dyDescent="0.25">
      <c r="AQ203" s="681"/>
      <c r="AR203"/>
      <c r="AS203"/>
      <c r="AT203" s="211"/>
      <c r="AU203"/>
      <c r="AV203"/>
    </row>
    <row r="204" spans="43:60" x14ac:dyDescent="0.25">
      <c r="AQ204" s="681"/>
      <c r="AR204"/>
      <c r="AS204"/>
      <c r="AT204" s="211"/>
      <c r="AU204"/>
      <c r="AV204"/>
    </row>
    <row r="205" spans="43:60" x14ac:dyDescent="0.25">
      <c r="AQ205" s="681"/>
      <c r="AR205"/>
      <c r="AS205"/>
      <c r="AT205" s="211"/>
      <c r="AU205"/>
      <c r="AV205"/>
    </row>
    <row r="206" spans="43:60" x14ac:dyDescent="0.25">
      <c r="AQ206" s="681"/>
      <c r="AR206"/>
      <c r="AS206"/>
      <c r="AT206" s="211"/>
      <c r="AU206"/>
      <c r="AV206"/>
    </row>
    <row r="207" spans="43:60" x14ac:dyDescent="0.25">
      <c r="AQ207" s="681"/>
      <c r="AR207"/>
      <c r="AS207"/>
      <c r="AT207" s="211"/>
      <c r="AU207"/>
      <c r="AV207"/>
    </row>
    <row r="208" spans="43:60" x14ac:dyDescent="0.25">
      <c r="AQ208" s="681"/>
      <c r="AR208"/>
      <c r="AS208"/>
      <c r="AT208" s="211"/>
      <c r="AU208"/>
      <c r="AV208"/>
    </row>
    <row r="209" spans="43:48" x14ac:dyDescent="0.25">
      <c r="AQ209" s="681"/>
      <c r="AR209"/>
      <c r="AS209"/>
      <c r="AT209" s="211"/>
      <c r="AU209"/>
      <c r="AV209"/>
    </row>
    <row r="210" spans="43:48" x14ac:dyDescent="0.25">
      <c r="AQ210" s="681"/>
      <c r="AR210"/>
      <c r="AS210"/>
      <c r="AT210" s="211"/>
      <c r="AU210"/>
      <c r="AV210"/>
    </row>
    <row r="211" spans="43:48" x14ac:dyDescent="0.25">
      <c r="AQ211" s="681"/>
      <c r="AR211"/>
      <c r="AS211"/>
      <c r="AT211" s="211"/>
      <c r="AU211"/>
      <c r="AV211"/>
    </row>
    <row r="212" spans="43:48" x14ac:dyDescent="0.25">
      <c r="AQ212" s="681"/>
      <c r="AR212"/>
      <c r="AS212"/>
      <c r="AT212" s="211"/>
      <c r="AU212"/>
      <c r="AV212"/>
    </row>
    <row r="213" spans="43:48" x14ac:dyDescent="0.25">
      <c r="AQ213" s="681"/>
      <c r="AR213"/>
      <c r="AS213"/>
      <c r="AT213" s="211"/>
      <c r="AU213"/>
      <c r="AV213"/>
    </row>
    <row r="214" spans="43:48" x14ac:dyDescent="0.25">
      <c r="AQ214" s="681"/>
      <c r="AR214"/>
      <c r="AS214"/>
      <c r="AT214" s="211"/>
      <c r="AU214"/>
      <c r="AV214"/>
    </row>
    <row r="215" spans="43:48" x14ac:dyDescent="0.25">
      <c r="AQ215" s="681"/>
      <c r="AR215"/>
      <c r="AS215"/>
      <c r="AT215" s="211"/>
      <c r="AU215"/>
      <c r="AV215"/>
    </row>
    <row r="216" spans="43:48" x14ac:dyDescent="0.25">
      <c r="AQ216" s="681"/>
      <c r="AR216"/>
      <c r="AS216"/>
      <c r="AT216" s="211"/>
      <c r="AU216"/>
      <c r="AV216"/>
    </row>
    <row r="217" spans="43:48" x14ac:dyDescent="0.25">
      <c r="AQ217" s="681"/>
      <c r="AR217"/>
      <c r="AS217"/>
      <c r="AT217" s="211"/>
      <c r="AU217"/>
      <c r="AV217"/>
    </row>
    <row r="218" spans="43:48" x14ac:dyDescent="0.25">
      <c r="AQ218" s="681"/>
      <c r="AR218"/>
      <c r="AS218"/>
      <c r="AT218" s="211"/>
      <c r="AU218"/>
      <c r="AV218"/>
    </row>
    <row r="219" spans="43:48" x14ac:dyDescent="0.25">
      <c r="AQ219" s="681"/>
      <c r="AR219"/>
      <c r="AS219"/>
      <c r="AT219" s="211"/>
      <c r="AU219"/>
      <c r="AV219"/>
    </row>
    <row r="220" spans="43:48" x14ac:dyDescent="0.25">
      <c r="AQ220" s="681"/>
      <c r="AR220"/>
      <c r="AS220"/>
      <c r="AT220" s="211"/>
      <c r="AU220"/>
      <c r="AV220"/>
    </row>
    <row r="221" spans="43:48" x14ac:dyDescent="0.25">
      <c r="AQ221" s="681"/>
      <c r="AR221" s="408"/>
      <c r="AS221" s="408"/>
      <c r="AT221" s="211"/>
      <c r="AU221"/>
      <c r="AV221"/>
    </row>
    <row r="222" spans="43:48" x14ac:dyDescent="0.25">
      <c r="AQ222" s="681"/>
      <c r="AT222" s="211"/>
      <c r="AU222"/>
      <c r="AV222"/>
    </row>
    <row r="223" spans="43:48" x14ac:dyDescent="0.25">
      <c r="AQ223" s="681"/>
      <c r="AT223" s="211"/>
      <c r="AU223"/>
      <c r="AV223"/>
    </row>
    <row r="224" spans="43:48" x14ac:dyDescent="0.25">
      <c r="AQ224" s="681"/>
      <c r="AT224" s="211"/>
      <c r="AU224"/>
      <c r="AV224"/>
    </row>
    <row r="225" spans="43:48" x14ac:dyDescent="0.25">
      <c r="AQ225" s="681"/>
      <c r="AT225" s="211"/>
      <c r="AU225"/>
      <c r="AV225"/>
    </row>
    <row r="226" spans="43:48" x14ac:dyDescent="0.25">
      <c r="AQ226" s="681"/>
      <c r="AT226" s="211"/>
      <c r="AU226"/>
      <c r="AV226"/>
    </row>
    <row r="227" spans="43:48" x14ac:dyDescent="0.25">
      <c r="AQ227" s="681"/>
      <c r="AT227" s="211"/>
      <c r="AU227"/>
      <c r="AV227"/>
    </row>
    <row r="228" spans="43:48" x14ac:dyDescent="0.25">
      <c r="AQ228" s="681"/>
      <c r="AT228" s="211"/>
      <c r="AU228"/>
      <c r="AV228"/>
    </row>
    <row r="229" spans="43:48" x14ac:dyDescent="0.25">
      <c r="AQ229" s="681"/>
      <c r="AT229" s="211"/>
      <c r="AU229"/>
      <c r="AV229"/>
    </row>
    <row r="230" spans="43:48" x14ac:dyDescent="0.25">
      <c r="AQ230" s="681"/>
      <c r="AT230" s="211"/>
      <c r="AU230"/>
      <c r="AV230"/>
    </row>
    <row r="231" spans="43:48" x14ac:dyDescent="0.25">
      <c r="AQ231" s="681"/>
      <c r="AT231" s="211"/>
      <c r="AU231"/>
      <c r="AV231"/>
    </row>
    <row r="232" spans="43:48" x14ac:dyDescent="0.25">
      <c r="AQ232" s="681"/>
      <c r="AT232" s="211"/>
      <c r="AU232"/>
      <c r="AV232"/>
    </row>
    <row r="233" spans="43:48" x14ac:dyDescent="0.25">
      <c r="AQ233" s="681"/>
      <c r="AT233" s="211"/>
      <c r="AU233"/>
      <c r="AV233"/>
    </row>
    <row r="234" spans="43:48" x14ac:dyDescent="0.25">
      <c r="AQ234" s="681"/>
      <c r="AT234" s="211"/>
      <c r="AU234"/>
      <c r="AV234"/>
    </row>
    <row r="235" spans="43:48" x14ac:dyDescent="0.25">
      <c r="AQ235" s="681"/>
      <c r="AT235" s="211"/>
      <c r="AU235"/>
      <c r="AV235"/>
    </row>
    <row r="236" spans="43:48" x14ac:dyDescent="0.25">
      <c r="AQ236" s="681"/>
      <c r="AT236" s="211"/>
      <c r="AU236"/>
      <c r="AV236"/>
    </row>
    <row r="237" spans="43:48" x14ac:dyDescent="0.25">
      <c r="AQ237" s="681"/>
      <c r="AT237" s="211"/>
      <c r="AU237"/>
      <c r="AV237"/>
    </row>
    <row r="238" spans="43:48" x14ac:dyDescent="0.25">
      <c r="AQ238" s="681"/>
      <c r="AT238" s="211"/>
      <c r="AU238"/>
      <c r="AV238"/>
    </row>
    <row r="239" spans="43:48" x14ac:dyDescent="0.25">
      <c r="AQ239" s="681"/>
      <c r="AT239" s="211"/>
      <c r="AU239"/>
      <c r="AV239"/>
    </row>
    <row r="240" spans="43:48" x14ac:dyDescent="0.25">
      <c r="AQ240" s="681"/>
      <c r="AT240" s="211"/>
      <c r="AU240"/>
      <c r="AV240"/>
    </row>
    <row r="241" spans="43:48" x14ac:dyDescent="0.25">
      <c r="AQ241" s="681"/>
      <c r="AT241" s="211"/>
      <c r="AU241"/>
      <c r="AV241"/>
    </row>
    <row r="242" spans="43:48" x14ac:dyDescent="0.25">
      <c r="AQ242" s="681"/>
      <c r="AT242" s="211"/>
      <c r="AU242"/>
      <c r="AV242"/>
    </row>
    <row r="243" spans="43:48" x14ac:dyDescent="0.25">
      <c r="AQ243" s="681"/>
      <c r="AT243" s="211"/>
      <c r="AU243"/>
      <c r="AV243"/>
    </row>
    <row r="244" spans="43:48" x14ac:dyDescent="0.25">
      <c r="AQ244" s="681"/>
      <c r="AT244" s="211"/>
      <c r="AU244"/>
      <c r="AV244"/>
    </row>
    <row r="245" spans="43:48" x14ac:dyDescent="0.25">
      <c r="AQ245" s="681"/>
      <c r="AT245" s="211"/>
      <c r="AU245"/>
      <c r="AV245"/>
    </row>
    <row r="246" spans="43:48" x14ac:dyDescent="0.25">
      <c r="AQ246" s="681"/>
      <c r="AT246" s="211"/>
      <c r="AU246"/>
      <c r="AV246"/>
    </row>
    <row r="247" spans="43:48" x14ac:dyDescent="0.25">
      <c r="AQ247" s="681"/>
      <c r="AT247" s="211"/>
      <c r="AU247"/>
      <c r="AV247"/>
    </row>
    <row r="248" spans="43:48" x14ac:dyDescent="0.25">
      <c r="AQ248" s="681"/>
      <c r="AT248" s="211"/>
      <c r="AU248"/>
      <c r="AV248"/>
    </row>
    <row r="249" spans="43:48" x14ac:dyDescent="0.25">
      <c r="AQ249" s="681"/>
      <c r="AT249" s="211"/>
      <c r="AU249"/>
      <c r="AV249"/>
    </row>
    <row r="250" spans="43:48" x14ac:dyDescent="0.25">
      <c r="AQ250" s="681"/>
      <c r="AT250" s="211"/>
      <c r="AU250"/>
      <c r="AV250"/>
    </row>
    <row r="251" spans="43:48" x14ac:dyDescent="0.25">
      <c r="AQ251" s="681"/>
      <c r="AT251" s="211"/>
      <c r="AU251"/>
      <c r="AV251"/>
    </row>
    <row r="252" spans="43:48" x14ac:dyDescent="0.25">
      <c r="AQ252" s="681"/>
      <c r="AT252" s="211"/>
      <c r="AU252"/>
      <c r="AV252"/>
    </row>
    <row r="253" spans="43:48" x14ac:dyDescent="0.25">
      <c r="AQ253" s="681"/>
      <c r="AT253" s="211"/>
      <c r="AU253"/>
      <c r="AV253"/>
    </row>
    <row r="254" spans="43:48" x14ac:dyDescent="0.25">
      <c r="AQ254" s="681"/>
      <c r="AT254" s="211"/>
      <c r="AU254"/>
      <c r="AV254"/>
    </row>
    <row r="255" spans="43:48" x14ac:dyDescent="0.25">
      <c r="AQ255" s="681"/>
      <c r="AT255" s="211"/>
      <c r="AU255"/>
      <c r="AV255"/>
    </row>
    <row r="256" spans="43:48" x14ac:dyDescent="0.25">
      <c r="AQ256" s="681"/>
      <c r="AT256" s="211"/>
      <c r="AU256"/>
      <c r="AV256"/>
    </row>
    <row r="257" spans="43:48" x14ac:dyDescent="0.25">
      <c r="AQ257" s="681"/>
      <c r="AT257" s="211"/>
      <c r="AU257"/>
      <c r="AV257"/>
    </row>
    <row r="258" spans="43:48" x14ac:dyDescent="0.25">
      <c r="AQ258" s="681"/>
      <c r="AT258" s="211"/>
      <c r="AU258"/>
      <c r="AV258"/>
    </row>
    <row r="259" spans="43:48" x14ac:dyDescent="0.25">
      <c r="AQ259" s="681"/>
      <c r="AT259" s="211"/>
      <c r="AU259"/>
      <c r="AV259"/>
    </row>
    <row r="260" spans="43:48" x14ac:dyDescent="0.25">
      <c r="AQ260" s="681"/>
      <c r="AT260" s="211"/>
      <c r="AU260"/>
      <c r="AV260"/>
    </row>
    <row r="261" spans="43:48" x14ac:dyDescent="0.25">
      <c r="AQ261" s="681"/>
      <c r="AT261" s="211"/>
      <c r="AU261"/>
      <c r="AV261"/>
    </row>
    <row r="262" spans="43:48" x14ac:dyDescent="0.25">
      <c r="AQ262" s="681"/>
      <c r="AT262" s="211"/>
      <c r="AU262"/>
      <c r="AV262"/>
    </row>
    <row r="263" spans="43:48" x14ac:dyDescent="0.25">
      <c r="AQ263" s="681"/>
      <c r="AT263" s="211"/>
      <c r="AU263"/>
      <c r="AV263"/>
    </row>
    <row r="264" spans="43:48" x14ac:dyDescent="0.25">
      <c r="AQ264" s="681"/>
      <c r="AT264" s="211"/>
      <c r="AU264"/>
      <c r="AV264"/>
    </row>
    <row r="265" spans="43:48" x14ac:dyDescent="0.25">
      <c r="AQ265" s="681"/>
      <c r="AT265" s="211"/>
      <c r="AU265"/>
      <c r="AV265"/>
    </row>
    <row r="266" spans="43:48" x14ac:dyDescent="0.25">
      <c r="AQ266" s="681"/>
      <c r="AT266" s="211"/>
      <c r="AU266"/>
      <c r="AV266"/>
    </row>
    <row r="267" spans="43:48" x14ac:dyDescent="0.25">
      <c r="AQ267" s="681"/>
      <c r="AT267" s="211"/>
      <c r="AU267"/>
      <c r="AV267"/>
    </row>
    <row r="268" spans="43:48" x14ac:dyDescent="0.25">
      <c r="AQ268" s="681"/>
      <c r="AT268" s="211"/>
      <c r="AU268"/>
      <c r="AV268"/>
    </row>
    <row r="269" spans="43:48" x14ac:dyDescent="0.25">
      <c r="AQ269" s="681"/>
      <c r="AT269" s="211"/>
      <c r="AU269"/>
      <c r="AV269"/>
    </row>
    <row r="270" spans="43:48" x14ac:dyDescent="0.25">
      <c r="AQ270" s="681"/>
      <c r="AT270" s="211"/>
      <c r="AU270"/>
      <c r="AV270"/>
    </row>
    <row r="271" spans="43:48" x14ac:dyDescent="0.25">
      <c r="AQ271" s="681"/>
      <c r="AT271" s="211"/>
      <c r="AU271"/>
      <c r="AV271"/>
    </row>
    <row r="272" spans="43:48" x14ac:dyDescent="0.25">
      <c r="AQ272" s="681"/>
      <c r="AT272" s="211"/>
      <c r="AU272"/>
      <c r="AV272"/>
    </row>
    <row r="273" spans="43:48" x14ac:dyDescent="0.25">
      <c r="AQ273" s="681"/>
      <c r="AT273" s="211"/>
      <c r="AU273"/>
      <c r="AV273"/>
    </row>
    <row r="274" spans="43:48" x14ac:dyDescent="0.25">
      <c r="AQ274" s="681"/>
      <c r="AT274" s="211"/>
      <c r="AU274"/>
      <c r="AV274"/>
    </row>
    <row r="275" spans="43:48" x14ac:dyDescent="0.25">
      <c r="AQ275" s="681"/>
      <c r="AT275" s="211"/>
      <c r="AU275"/>
      <c r="AV275"/>
    </row>
    <row r="276" spans="43:48" x14ac:dyDescent="0.25">
      <c r="AQ276" s="681"/>
      <c r="AT276" s="211"/>
      <c r="AU276"/>
      <c r="AV276"/>
    </row>
    <row r="277" spans="43:48" x14ac:dyDescent="0.25">
      <c r="AQ277" s="681"/>
      <c r="AT277" s="211"/>
      <c r="AU277"/>
      <c r="AV277"/>
    </row>
    <row r="278" spans="43:48" x14ac:dyDescent="0.25">
      <c r="AQ278" s="681"/>
      <c r="AT278" s="211"/>
      <c r="AU278"/>
      <c r="AV278"/>
    </row>
    <row r="279" spans="43:48" x14ac:dyDescent="0.25">
      <c r="AQ279" s="681"/>
      <c r="AT279" s="211"/>
      <c r="AU279"/>
      <c r="AV279"/>
    </row>
    <row r="280" spans="43:48" x14ac:dyDescent="0.25">
      <c r="AQ280" s="681"/>
      <c r="AT280" s="211"/>
      <c r="AU280"/>
      <c r="AV280"/>
    </row>
    <row r="281" spans="43:48" x14ac:dyDescent="0.25">
      <c r="AQ281" s="681"/>
      <c r="AT281" s="211"/>
      <c r="AU281"/>
      <c r="AV281"/>
    </row>
    <row r="282" spans="43:48" x14ac:dyDescent="0.25">
      <c r="AQ282" s="681"/>
      <c r="AT282" s="211"/>
      <c r="AU282"/>
      <c r="AV282"/>
    </row>
    <row r="283" spans="43:48" x14ac:dyDescent="0.25">
      <c r="AQ283" s="681"/>
      <c r="AT283" s="211"/>
      <c r="AU283"/>
      <c r="AV283"/>
    </row>
    <row r="284" spans="43:48" x14ac:dyDescent="0.25">
      <c r="AQ284" s="681"/>
      <c r="AT284" s="211"/>
      <c r="AU284"/>
      <c r="AV284"/>
    </row>
    <row r="285" spans="43:48" x14ac:dyDescent="0.25">
      <c r="AQ285" s="681"/>
      <c r="AT285" s="211"/>
      <c r="AU285"/>
      <c r="AV285"/>
    </row>
    <row r="286" spans="43:48" x14ac:dyDescent="0.25">
      <c r="AQ286" s="681"/>
      <c r="AT286" s="211"/>
      <c r="AU286"/>
      <c r="AV286"/>
    </row>
    <row r="287" spans="43:48" x14ac:dyDescent="0.25">
      <c r="AQ287" s="681"/>
      <c r="AT287" s="211"/>
      <c r="AU287"/>
      <c r="AV287"/>
    </row>
    <row r="288" spans="43:48" x14ac:dyDescent="0.25">
      <c r="AQ288" s="681"/>
      <c r="AT288" s="211"/>
      <c r="AU288"/>
      <c r="AV288"/>
    </row>
    <row r="289" spans="43:48" x14ac:dyDescent="0.25">
      <c r="AQ289" s="681"/>
      <c r="AT289" s="211"/>
      <c r="AU289"/>
      <c r="AV289"/>
    </row>
    <row r="290" spans="43:48" x14ac:dyDescent="0.25">
      <c r="AQ290" s="681"/>
      <c r="AT290" s="211"/>
      <c r="AU290"/>
      <c r="AV290"/>
    </row>
    <row r="291" spans="43:48" x14ac:dyDescent="0.25">
      <c r="AQ291" s="681"/>
      <c r="AT291" s="211"/>
      <c r="AU291"/>
      <c r="AV291"/>
    </row>
    <row r="292" spans="43:48" x14ac:dyDescent="0.25">
      <c r="AQ292" s="681"/>
      <c r="AT292" s="211"/>
      <c r="AU292"/>
      <c r="AV292"/>
    </row>
    <row r="293" spans="43:48" x14ac:dyDescent="0.25">
      <c r="AQ293" s="681"/>
      <c r="AT293" s="211"/>
      <c r="AU293"/>
      <c r="AV293"/>
    </row>
    <row r="294" spans="43:48" x14ac:dyDescent="0.25">
      <c r="AQ294" s="681"/>
      <c r="AT294" s="211"/>
      <c r="AU294"/>
      <c r="AV294"/>
    </row>
    <row r="295" spans="43:48" x14ac:dyDescent="0.25">
      <c r="AQ295" s="681"/>
      <c r="AT295" s="211"/>
      <c r="AU295"/>
      <c r="AV295"/>
    </row>
    <row r="296" spans="43:48" x14ac:dyDescent="0.25">
      <c r="AQ296" s="681"/>
      <c r="AT296" s="211"/>
      <c r="AU296"/>
      <c r="AV296"/>
    </row>
    <row r="297" spans="43:48" x14ac:dyDescent="0.25">
      <c r="AQ297" s="681"/>
      <c r="AT297" s="211"/>
      <c r="AU297"/>
      <c r="AV297"/>
    </row>
    <row r="298" spans="43:48" x14ac:dyDescent="0.25">
      <c r="AQ298" s="681"/>
      <c r="AT298" s="211"/>
      <c r="AU298"/>
      <c r="AV298"/>
    </row>
    <row r="299" spans="43:48" x14ac:dyDescent="0.25">
      <c r="AQ299" s="681"/>
      <c r="AT299" s="211"/>
      <c r="AU299"/>
      <c r="AV299"/>
    </row>
    <row r="300" spans="43:48" x14ac:dyDescent="0.25">
      <c r="AQ300" s="681"/>
      <c r="AT300" s="211"/>
      <c r="AU300"/>
      <c r="AV300"/>
    </row>
    <row r="301" spans="43:48" x14ac:dyDescent="0.25">
      <c r="AQ301" s="681"/>
      <c r="AT301" s="211"/>
      <c r="AU301"/>
      <c r="AV301"/>
    </row>
    <row r="302" spans="43:48" x14ac:dyDescent="0.25">
      <c r="AQ302" s="681"/>
      <c r="AT302" s="211"/>
      <c r="AU302"/>
      <c r="AV302"/>
    </row>
    <row r="303" spans="43:48" x14ac:dyDescent="0.25">
      <c r="AQ303" s="681"/>
      <c r="AT303" s="211"/>
      <c r="AU303"/>
      <c r="AV303"/>
    </row>
    <row r="304" spans="43:48" x14ac:dyDescent="0.25">
      <c r="AQ304" s="681"/>
      <c r="AT304" s="211"/>
      <c r="AU304"/>
      <c r="AV304"/>
    </row>
    <row r="305" spans="43:48" x14ac:dyDescent="0.25">
      <c r="AQ305" s="681"/>
      <c r="AT305" s="211"/>
      <c r="AU305"/>
      <c r="AV305"/>
    </row>
    <row r="306" spans="43:48" x14ac:dyDescent="0.25">
      <c r="AQ306" s="681"/>
      <c r="AT306" s="211"/>
      <c r="AU306"/>
      <c r="AV306"/>
    </row>
    <row r="307" spans="43:48" x14ac:dyDescent="0.25">
      <c r="AQ307" s="681"/>
      <c r="AT307" s="211"/>
      <c r="AU307"/>
      <c r="AV307"/>
    </row>
    <row r="308" spans="43:48" x14ac:dyDescent="0.25">
      <c r="AQ308" s="681"/>
      <c r="AT308" s="211"/>
      <c r="AU308"/>
      <c r="AV308"/>
    </row>
    <row r="309" spans="43:48" x14ac:dyDescent="0.25">
      <c r="AQ309" s="681"/>
      <c r="AT309" s="211"/>
      <c r="AU309"/>
      <c r="AV309"/>
    </row>
    <row r="310" spans="43:48" x14ac:dyDescent="0.25">
      <c r="AQ310" s="681"/>
      <c r="AT310" s="211"/>
      <c r="AU310"/>
      <c r="AV310"/>
    </row>
    <row r="311" spans="43:48" x14ac:dyDescent="0.25">
      <c r="AQ311" s="681"/>
      <c r="AT311" s="211"/>
      <c r="AU311"/>
      <c r="AV311"/>
    </row>
    <row r="312" spans="43:48" x14ac:dyDescent="0.25">
      <c r="AQ312" s="681"/>
      <c r="AT312" s="211"/>
      <c r="AU312"/>
      <c r="AV312"/>
    </row>
    <row r="313" spans="43:48" x14ac:dyDescent="0.25">
      <c r="AQ313" s="681"/>
      <c r="AT313" s="211"/>
      <c r="AU313"/>
      <c r="AV313"/>
    </row>
    <row r="314" spans="43:48" x14ac:dyDescent="0.25">
      <c r="AQ314" s="681"/>
      <c r="AT314" s="211"/>
      <c r="AU314"/>
      <c r="AV314"/>
    </row>
    <row r="315" spans="43:48" x14ac:dyDescent="0.25">
      <c r="AQ315" s="681"/>
      <c r="AT315" s="211"/>
      <c r="AU315"/>
      <c r="AV315"/>
    </row>
    <row r="316" spans="43:48" x14ac:dyDescent="0.25">
      <c r="AQ316" s="681"/>
      <c r="AT316" s="211"/>
      <c r="AU316"/>
      <c r="AV316"/>
    </row>
    <row r="317" spans="43:48" x14ac:dyDescent="0.25">
      <c r="AQ317" s="681"/>
      <c r="AT317" s="211"/>
      <c r="AU317"/>
      <c r="AV317"/>
    </row>
    <row r="318" spans="43:48" x14ac:dyDescent="0.25">
      <c r="AQ318" s="681"/>
      <c r="AT318" s="211"/>
      <c r="AU318"/>
      <c r="AV318"/>
    </row>
    <row r="319" spans="43:48" x14ac:dyDescent="0.25">
      <c r="AQ319" s="681"/>
      <c r="AT319" s="211"/>
      <c r="AU319"/>
      <c r="AV319"/>
    </row>
    <row r="320" spans="43:48" x14ac:dyDescent="0.25">
      <c r="AQ320" s="681"/>
      <c r="AT320" s="211"/>
      <c r="AU320"/>
      <c r="AV320"/>
    </row>
    <row r="321" spans="43:48" x14ac:dyDescent="0.25">
      <c r="AQ321" s="681"/>
      <c r="AT321" s="211"/>
      <c r="AU321"/>
      <c r="AV321"/>
    </row>
    <row r="322" spans="43:48" x14ac:dyDescent="0.25">
      <c r="AQ322" s="681"/>
      <c r="AT322" s="211"/>
      <c r="AU322"/>
      <c r="AV322"/>
    </row>
    <row r="323" spans="43:48" x14ac:dyDescent="0.25">
      <c r="AQ323" s="681"/>
      <c r="AT323" s="211"/>
      <c r="AU323"/>
      <c r="AV323"/>
    </row>
    <row r="324" spans="43:48" x14ac:dyDescent="0.25">
      <c r="AQ324" s="681"/>
      <c r="AT324" s="211"/>
      <c r="AU324"/>
      <c r="AV324"/>
    </row>
    <row r="325" spans="43:48" x14ac:dyDescent="0.25">
      <c r="AQ325" s="681"/>
      <c r="AT325" s="211"/>
      <c r="AU325"/>
      <c r="AV325"/>
    </row>
    <row r="326" spans="43:48" x14ac:dyDescent="0.25">
      <c r="AQ326" s="681"/>
      <c r="AT326" s="211"/>
      <c r="AU326"/>
      <c r="AV326"/>
    </row>
    <row r="327" spans="43:48" x14ac:dyDescent="0.25">
      <c r="AQ327" s="681"/>
      <c r="AT327" s="211"/>
      <c r="AU327"/>
      <c r="AV327"/>
    </row>
    <row r="328" spans="43:48" x14ac:dyDescent="0.25">
      <c r="AQ328" s="681"/>
      <c r="AT328" s="211"/>
      <c r="AU328"/>
      <c r="AV328"/>
    </row>
    <row r="329" spans="43:48" x14ac:dyDescent="0.25">
      <c r="AQ329" s="681"/>
      <c r="AT329" s="211"/>
      <c r="AU329"/>
      <c r="AV329"/>
    </row>
    <row r="330" spans="43:48" x14ac:dyDescent="0.25">
      <c r="AQ330" s="681"/>
      <c r="AT330" s="211"/>
      <c r="AU330"/>
      <c r="AV330"/>
    </row>
    <row r="331" spans="43:48" x14ac:dyDescent="0.25">
      <c r="AQ331" s="681"/>
      <c r="AT331" s="211"/>
      <c r="AU331"/>
      <c r="AV331"/>
    </row>
    <row r="332" spans="43:48" x14ac:dyDescent="0.25">
      <c r="AQ332" s="681"/>
      <c r="AT332" s="211"/>
      <c r="AU332"/>
      <c r="AV332"/>
    </row>
    <row r="333" spans="43:48" x14ac:dyDescent="0.25">
      <c r="AQ333" s="681"/>
      <c r="AT333" s="211"/>
      <c r="AU333"/>
      <c r="AV333"/>
    </row>
    <row r="334" spans="43:48" x14ac:dyDescent="0.25">
      <c r="AQ334" s="681"/>
      <c r="AT334" s="211"/>
      <c r="AU334"/>
      <c r="AV334"/>
    </row>
    <row r="335" spans="43:48" x14ac:dyDescent="0.25">
      <c r="AQ335" s="681"/>
      <c r="AT335" s="211"/>
      <c r="AU335"/>
      <c r="AV335"/>
    </row>
    <row r="336" spans="43:48" x14ac:dyDescent="0.25">
      <c r="AQ336" s="681"/>
      <c r="AT336" s="211"/>
      <c r="AU336"/>
      <c r="AV336"/>
    </row>
    <row r="337" spans="43:48" x14ac:dyDescent="0.25">
      <c r="AQ337" s="681"/>
      <c r="AT337" s="211"/>
      <c r="AU337"/>
      <c r="AV337"/>
    </row>
    <row r="338" spans="43:48" x14ac:dyDescent="0.25">
      <c r="AQ338" s="681"/>
      <c r="AT338" s="211"/>
      <c r="AU338"/>
      <c r="AV338"/>
    </row>
    <row r="339" spans="43:48" x14ac:dyDescent="0.25">
      <c r="AQ339" s="681"/>
      <c r="AT339" s="211"/>
      <c r="AU339"/>
      <c r="AV339"/>
    </row>
    <row r="340" spans="43:48" x14ac:dyDescent="0.25">
      <c r="AQ340" s="681"/>
      <c r="AT340" s="211"/>
      <c r="AU340"/>
      <c r="AV340"/>
    </row>
    <row r="341" spans="43:48" x14ac:dyDescent="0.25">
      <c r="AQ341" s="681"/>
      <c r="AT341" s="211"/>
      <c r="AU341"/>
      <c r="AV341"/>
    </row>
    <row r="342" spans="43:48" x14ac:dyDescent="0.25">
      <c r="AQ342" s="681"/>
      <c r="AT342" s="211"/>
      <c r="AU342"/>
      <c r="AV342"/>
    </row>
    <row r="343" spans="43:48" x14ac:dyDescent="0.25">
      <c r="AQ343" s="681"/>
      <c r="AT343" s="211"/>
      <c r="AU343"/>
      <c r="AV343"/>
    </row>
    <row r="344" spans="43:48" x14ac:dyDescent="0.25">
      <c r="AQ344" s="681"/>
      <c r="AT344" s="211"/>
      <c r="AU344"/>
      <c r="AV344"/>
    </row>
    <row r="345" spans="43:48" x14ac:dyDescent="0.25">
      <c r="AQ345" s="681"/>
      <c r="AT345" s="211"/>
      <c r="AU345"/>
      <c r="AV345"/>
    </row>
    <row r="346" spans="43:48" x14ac:dyDescent="0.25">
      <c r="AQ346" s="681"/>
      <c r="AT346" s="211"/>
      <c r="AU346"/>
      <c r="AV346"/>
    </row>
    <row r="347" spans="43:48" x14ac:dyDescent="0.25">
      <c r="AQ347" s="681"/>
      <c r="AT347" s="211"/>
      <c r="AU347"/>
      <c r="AV347"/>
    </row>
    <row r="348" spans="43:48" x14ac:dyDescent="0.25">
      <c r="AQ348" s="681"/>
      <c r="AT348" s="211"/>
      <c r="AU348"/>
      <c r="AV348"/>
    </row>
    <row r="349" spans="43:48" x14ac:dyDescent="0.25">
      <c r="AQ349" s="681"/>
      <c r="AT349" s="211"/>
      <c r="AU349"/>
      <c r="AV349"/>
    </row>
    <row r="350" spans="43:48" x14ac:dyDescent="0.25">
      <c r="AQ350" s="681"/>
      <c r="AT350" s="211"/>
      <c r="AU350"/>
      <c r="AV350"/>
    </row>
    <row r="351" spans="43:48" x14ac:dyDescent="0.25">
      <c r="AQ351" s="681"/>
      <c r="AT351" s="211"/>
      <c r="AU351"/>
      <c r="AV351"/>
    </row>
    <row r="352" spans="43:48" x14ac:dyDescent="0.25">
      <c r="AQ352" s="681"/>
      <c r="AT352" s="211"/>
      <c r="AU352"/>
      <c r="AV352"/>
    </row>
    <row r="353" spans="43:48" x14ac:dyDescent="0.25">
      <c r="AQ353" s="681"/>
      <c r="AT353" s="211"/>
      <c r="AU353"/>
      <c r="AV353"/>
    </row>
    <row r="354" spans="43:48" x14ac:dyDescent="0.25">
      <c r="AQ354" s="681"/>
      <c r="AT354" s="211"/>
      <c r="AU354"/>
      <c r="AV354"/>
    </row>
    <row r="355" spans="43:48" x14ac:dyDescent="0.25">
      <c r="AQ355" s="681"/>
      <c r="AT355" s="211"/>
      <c r="AU355"/>
      <c r="AV355"/>
    </row>
    <row r="356" spans="43:48" x14ac:dyDescent="0.25">
      <c r="AQ356" s="681"/>
      <c r="AT356" s="211"/>
      <c r="AU356"/>
      <c r="AV356"/>
    </row>
    <row r="357" spans="43:48" x14ac:dyDescent="0.25">
      <c r="AQ357" s="681"/>
      <c r="AT357" s="211"/>
      <c r="AU357"/>
      <c r="AV357"/>
    </row>
    <row r="358" spans="43:48" x14ac:dyDescent="0.25">
      <c r="AQ358" s="681"/>
      <c r="AT358" s="211"/>
      <c r="AU358"/>
      <c r="AV358"/>
    </row>
    <row r="359" spans="43:48" x14ac:dyDescent="0.25">
      <c r="AQ359" s="681"/>
      <c r="AT359" s="211"/>
      <c r="AU359"/>
      <c r="AV359"/>
    </row>
    <row r="360" spans="43:48" x14ac:dyDescent="0.25">
      <c r="AQ360" s="681"/>
      <c r="AT360" s="211"/>
      <c r="AU360"/>
      <c r="AV360"/>
    </row>
    <row r="361" spans="43:48" x14ac:dyDescent="0.25">
      <c r="AQ361" s="681"/>
      <c r="AT361" s="211"/>
      <c r="AU361"/>
      <c r="AV361"/>
    </row>
    <row r="362" spans="43:48" x14ac:dyDescent="0.25">
      <c r="AQ362" s="681"/>
      <c r="AT362" s="211"/>
      <c r="AU362"/>
      <c r="AV362"/>
    </row>
    <row r="363" spans="43:48" x14ac:dyDescent="0.25">
      <c r="AQ363" s="681"/>
      <c r="AT363" s="211"/>
      <c r="AU363"/>
      <c r="AV363"/>
    </row>
    <row r="364" spans="43:48" x14ac:dyDescent="0.25">
      <c r="AQ364" s="681"/>
      <c r="AT364" s="211"/>
      <c r="AU364"/>
      <c r="AV364"/>
    </row>
    <row r="365" spans="43:48" x14ac:dyDescent="0.25">
      <c r="AQ365" s="681"/>
      <c r="AT365" s="211"/>
      <c r="AU365"/>
      <c r="AV365"/>
    </row>
    <row r="366" spans="43:48" x14ac:dyDescent="0.25">
      <c r="AQ366" s="681"/>
      <c r="AT366" s="211"/>
      <c r="AU366"/>
      <c r="AV366"/>
    </row>
    <row r="367" spans="43:48" x14ac:dyDescent="0.25">
      <c r="AQ367" s="681"/>
      <c r="AT367" s="211"/>
      <c r="AU367"/>
      <c r="AV367"/>
    </row>
    <row r="368" spans="43:48" x14ac:dyDescent="0.25">
      <c r="AQ368" s="681"/>
      <c r="AT368" s="211"/>
      <c r="AU368"/>
      <c r="AV368"/>
    </row>
    <row r="369" spans="43:48" x14ac:dyDescent="0.25">
      <c r="AQ369" s="681"/>
      <c r="AT369" s="211"/>
      <c r="AU369"/>
      <c r="AV369"/>
    </row>
    <row r="370" spans="43:48" x14ac:dyDescent="0.25">
      <c r="AQ370" s="681"/>
      <c r="AT370" s="211"/>
      <c r="AU370"/>
      <c r="AV370"/>
    </row>
    <row r="371" spans="43:48" x14ac:dyDescent="0.25">
      <c r="AQ371" s="681"/>
      <c r="AT371" s="211"/>
      <c r="AU371"/>
      <c r="AV371"/>
    </row>
    <row r="372" spans="43:48" x14ac:dyDescent="0.25">
      <c r="AQ372" s="681"/>
      <c r="AT372" s="211"/>
      <c r="AU372"/>
      <c r="AV372"/>
    </row>
    <row r="373" spans="43:48" x14ac:dyDescent="0.25">
      <c r="AQ373" s="681"/>
      <c r="AT373" s="211"/>
      <c r="AU373"/>
      <c r="AV373"/>
    </row>
    <row r="374" spans="43:48" x14ac:dyDescent="0.25">
      <c r="AQ374" s="681"/>
      <c r="AT374" s="211"/>
      <c r="AU374"/>
      <c r="AV374"/>
    </row>
    <row r="375" spans="43:48" x14ac:dyDescent="0.25">
      <c r="AQ375" s="681"/>
      <c r="AT375" s="211"/>
      <c r="AU375"/>
      <c r="AV375"/>
    </row>
    <row r="376" spans="43:48" x14ac:dyDescent="0.25">
      <c r="AQ376" s="681"/>
      <c r="AT376" s="211"/>
      <c r="AU376"/>
      <c r="AV376"/>
    </row>
    <row r="377" spans="43:48" x14ac:dyDescent="0.25">
      <c r="AQ377" s="681"/>
      <c r="AT377" s="211"/>
      <c r="AU377"/>
      <c r="AV377"/>
    </row>
    <row r="378" spans="43:48" x14ac:dyDescent="0.25">
      <c r="AQ378" s="681"/>
      <c r="AT378" s="211"/>
      <c r="AU378"/>
      <c r="AV378"/>
    </row>
    <row r="379" spans="43:48" x14ac:dyDescent="0.25">
      <c r="AQ379" s="681"/>
      <c r="AT379" s="211"/>
      <c r="AU379"/>
      <c r="AV379"/>
    </row>
    <row r="380" spans="43:48" x14ac:dyDescent="0.25">
      <c r="AQ380" s="681"/>
      <c r="AT380" s="211"/>
      <c r="AU380"/>
      <c r="AV380"/>
    </row>
    <row r="381" spans="43:48" x14ac:dyDescent="0.25">
      <c r="AQ381" s="681"/>
      <c r="AT381" s="211"/>
      <c r="AU381"/>
      <c r="AV381"/>
    </row>
    <row r="382" spans="43:48" x14ac:dyDescent="0.25">
      <c r="AQ382" s="681"/>
      <c r="AT382" s="211"/>
      <c r="AU382"/>
      <c r="AV382"/>
    </row>
    <row r="383" spans="43:48" x14ac:dyDescent="0.25">
      <c r="AQ383" s="681"/>
      <c r="AT383" s="211"/>
      <c r="AU383"/>
      <c r="AV383"/>
    </row>
    <row r="384" spans="43:48" x14ac:dyDescent="0.25">
      <c r="AQ384" s="681"/>
      <c r="AT384" s="211"/>
      <c r="AU384"/>
      <c r="AV384"/>
    </row>
    <row r="385" spans="43:48" x14ac:dyDescent="0.25">
      <c r="AQ385" s="681"/>
      <c r="AT385" s="211"/>
      <c r="AU385"/>
      <c r="AV385"/>
    </row>
    <row r="386" spans="43:48" x14ac:dyDescent="0.25">
      <c r="AQ386" s="681"/>
      <c r="AT386" s="211"/>
      <c r="AU386"/>
      <c r="AV386"/>
    </row>
    <row r="387" spans="43:48" x14ac:dyDescent="0.25">
      <c r="AQ387" s="681"/>
      <c r="AT387" s="211"/>
      <c r="AU387"/>
      <c r="AV387"/>
    </row>
    <row r="388" spans="43:48" x14ac:dyDescent="0.25">
      <c r="AQ388" s="681"/>
      <c r="AT388" s="211"/>
      <c r="AU388"/>
      <c r="AV388"/>
    </row>
    <row r="389" spans="43:48" x14ac:dyDescent="0.25">
      <c r="AQ389" s="681"/>
      <c r="AT389" s="211"/>
      <c r="AU389"/>
      <c r="AV389"/>
    </row>
    <row r="390" spans="43:48" x14ac:dyDescent="0.25">
      <c r="AQ390" s="681"/>
      <c r="AT390" s="211"/>
      <c r="AU390"/>
      <c r="AV390"/>
    </row>
    <row r="391" spans="43:48" x14ac:dyDescent="0.25">
      <c r="AQ391" s="681"/>
      <c r="AT391" s="211"/>
      <c r="AU391"/>
      <c r="AV391"/>
    </row>
    <row r="392" spans="43:48" x14ac:dyDescent="0.25">
      <c r="AQ392" s="681"/>
      <c r="AT392" s="211"/>
      <c r="AU392"/>
      <c r="AV392"/>
    </row>
    <row r="393" spans="43:48" x14ac:dyDescent="0.25">
      <c r="AQ393" s="681"/>
      <c r="AT393" s="211"/>
      <c r="AU393"/>
      <c r="AV393"/>
    </row>
    <row r="394" spans="43:48" x14ac:dyDescent="0.25">
      <c r="AQ394" s="681"/>
      <c r="AT394" s="211"/>
      <c r="AU394"/>
      <c r="AV394"/>
    </row>
    <row r="395" spans="43:48" x14ac:dyDescent="0.25">
      <c r="AQ395" s="681"/>
      <c r="AT395" s="211"/>
      <c r="AU395"/>
      <c r="AV395"/>
    </row>
    <row r="396" spans="43:48" x14ac:dyDescent="0.25">
      <c r="AQ396" s="681"/>
      <c r="AT396" s="211"/>
      <c r="AU396"/>
      <c r="AV396"/>
    </row>
    <row r="397" spans="43:48" x14ac:dyDescent="0.25">
      <c r="AQ397" s="681"/>
      <c r="AT397" s="211"/>
      <c r="AU397"/>
      <c r="AV397"/>
    </row>
    <row r="398" spans="43:48" x14ac:dyDescent="0.25">
      <c r="AQ398" s="681"/>
      <c r="AT398" s="211"/>
      <c r="AU398"/>
      <c r="AV398"/>
    </row>
    <row r="399" spans="43:48" x14ac:dyDescent="0.25">
      <c r="AQ399" s="681"/>
      <c r="AT399" s="211"/>
      <c r="AU399"/>
      <c r="AV399"/>
    </row>
    <row r="400" spans="43:48" x14ac:dyDescent="0.25">
      <c r="AQ400" s="681"/>
      <c r="AT400" s="211"/>
      <c r="AU400"/>
      <c r="AV400"/>
    </row>
    <row r="401" spans="43:48" x14ac:dyDescent="0.25">
      <c r="AQ401" s="681"/>
      <c r="AT401" s="211"/>
      <c r="AU401"/>
      <c r="AV401"/>
    </row>
    <row r="402" spans="43:48" x14ac:dyDescent="0.25">
      <c r="AQ402" s="681"/>
      <c r="AT402" s="211"/>
      <c r="AU402"/>
      <c r="AV402"/>
    </row>
    <row r="403" spans="43:48" x14ac:dyDescent="0.25">
      <c r="AQ403" s="681"/>
      <c r="AT403" s="211"/>
      <c r="AU403"/>
      <c r="AV403"/>
    </row>
    <row r="404" spans="43:48" x14ac:dyDescent="0.25">
      <c r="AQ404" s="681"/>
      <c r="AT404" s="211"/>
      <c r="AU404"/>
      <c r="AV404"/>
    </row>
    <row r="405" spans="43:48" x14ac:dyDescent="0.25">
      <c r="AQ405" s="681"/>
      <c r="AT405" s="211"/>
      <c r="AU405"/>
      <c r="AV405"/>
    </row>
    <row r="406" spans="43:48" x14ac:dyDescent="0.25">
      <c r="AQ406" s="681"/>
      <c r="AT406" s="211"/>
      <c r="AU406"/>
      <c r="AV406"/>
    </row>
    <row r="407" spans="43:48" x14ac:dyDescent="0.25">
      <c r="AQ407" s="681"/>
      <c r="AT407" s="211"/>
      <c r="AU407"/>
      <c r="AV407"/>
    </row>
    <row r="408" spans="43:48" x14ac:dyDescent="0.25">
      <c r="AQ408" s="681"/>
      <c r="AT408" s="211"/>
      <c r="AU408"/>
      <c r="AV408"/>
    </row>
    <row r="409" spans="43:48" x14ac:dyDescent="0.25">
      <c r="AQ409" s="681"/>
      <c r="AT409" s="211"/>
      <c r="AU409"/>
      <c r="AV409"/>
    </row>
    <row r="410" spans="43:48" x14ac:dyDescent="0.25">
      <c r="AQ410" s="681"/>
      <c r="AT410" s="211"/>
      <c r="AU410"/>
      <c r="AV410"/>
    </row>
    <row r="411" spans="43:48" x14ac:dyDescent="0.25">
      <c r="AQ411" s="681"/>
      <c r="AT411" s="211"/>
      <c r="AU411"/>
      <c r="AV411"/>
    </row>
    <row r="412" spans="43:48" x14ac:dyDescent="0.25">
      <c r="AQ412" s="681"/>
      <c r="AT412" s="211"/>
      <c r="AU412"/>
      <c r="AV412"/>
    </row>
    <row r="413" spans="43:48" x14ac:dyDescent="0.25">
      <c r="AQ413" s="681"/>
      <c r="AT413" s="211"/>
      <c r="AU413"/>
      <c r="AV413"/>
    </row>
    <row r="414" spans="43:48" x14ac:dyDescent="0.25">
      <c r="AQ414" s="681"/>
      <c r="AT414" s="211"/>
      <c r="AU414"/>
      <c r="AV414"/>
    </row>
    <row r="415" spans="43:48" x14ac:dyDescent="0.25">
      <c r="AQ415" s="681"/>
      <c r="AT415" s="211"/>
      <c r="AU415"/>
      <c r="AV415"/>
    </row>
    <row r="416" spans="43:48" x14ac:dyDescent="0.25">
      <c r="AQ416" s="681"/>
      <c r="AT416" s="211"/>
      <c r="AU416"/>
      <c r="AV416"/>
    </row>
    <row r="417" spans="43:48" x14ac:dyDescent="0.25">
      <c r="AQ417" s="681"/>
      <c r="AT417" s="211"/>
      <c r="AU417"/>
      <c r="AV417"/>
    </row>
    <row r="418" spans="43:48" x14ac:dyDescent="0.25">
      <c r="AQ418" s="681"/>
      <c r="AT418" s="211"/>
      <c r="AU418"/>
      <c r="AV418"/>
    </row>
    <row r="419" spans="43:48" x14ac:dyDescent="0.25">
      <c r="AQ419" s="681"/>
      <c r="AT419" s="211"/>
      <c r="AU419"/>
      <c r="AV419"/>
    </row>
    <row r="420" spans="43:48" x14ac:dyDescent="0.25">
      <c r="AQ420" s="681"/>
      <c r="AT420" s="211"/>
      <c r="AU420"/>
      <c r="AV420"/>
    </row>
    <row r="421" spans="43:48" x14ac:dyDescent="0.25">
      <c r="AQ421" s="681"/>
      <c r="AT421" s="211"/>
      <c r="AU421"/>
      <c r="AV421"/>
    </row>
    <row r="422" spans="43:48" x14ac:dyDescent="0.25">
      <c r="AQ422" s="681"/>
      <c r="AT422" s="211"/>
      <c r="AU422"/>
      <c r="AV422"/>
    </row>
    <row r="423" spans="43:48" x14ac:dyDescent="0.25">
      <c r="AQ423" s="681"/>
      <c r="AT423" s="211"/>
      <c r="AU423"/>
      <c r="AV423"/>
    </row>
    <row r="424" spans="43:48" x14ac:dyDescent="0.25">
      <c r="AQ424" s="681"/>
      <c r="AT424" s="211"/>
      <c r="AU424"/>
      <c r="AV424"/>
    </row>
    <row r="425" spans="43:48" x14ac:dyDescent="0.25">
      <c r="AQ425" s="681"/>
      <c r="AT425" s="211"/>
      <c r="AU425"/>
      <c r="AV425"/>
    </row>
    <row r="426" spans="43:48" x14ac:dyDescent="0.25">
      <c r="AQ426" s="681"/>
      <c r="AT426" s="211"/>
      <c r="AU426"/>
      <c r="AV426"/>
    </row>
    <row r="427" spans="43:48" x14ac:dyDescent="0.25">
      <c r="AQ427" s="681"/>
      <c r="AT427" s="211"/>
      <c r="AU427"/>
      <c r="AV427"/>
    </row>
    <row r="428" spans="43:48" x14ac:dyDescent="0.25">
      <c r="AQ428" s="681"/>
      <c r="AT428" s="211"/>
      <c r="AU428"/>
      <c r="AV428"/>
    </row>
    <row r="429" spans="43:48" x14ac:dyDescent="0.25">
      <c r="AQ429" s="681"/>
      <c r="AT429" s="211"/>
      <c r="AU429"/>
      <c r="AV429"/>
    </row>
    <row r="430" spans="43:48" x14ac:dyDescent="0.25">
      <c r="AQ430" s="681"/>
      <c r="AT430" s="211"/>
      <c r="AU430"/>
      <c r="AV430"/>
    </row>
    <row r="431" spans="43:48" x14ac:dyDescent="0.25">
      <c r="AQ431" s="681"/>
      <c r="AT431" s="211"/>
      <c r="AU431"/>
      <c r="AV431"/>
    </row>
    <row r="432" spans="43:48" x14ac:dyDescent="0.25">
      <c r="AQ432" s="681"/>
      <c r="AT432" s="211"/>
      <c r="AU432"/>
      <c r="AV432"/>
    </row>
    <row r="433" spans="43:48" x14ac:dyDescent="0.25">
      <c r="AQ433" s="681"/>
      <c r="AT433" s="211"/>
      <c r="AU433"/>
      <c r="AV433"/>
    </row>
    <row r="434" spans="43:48" x14ac:dyDescent="0.25">
      <c r="AQ434" s="681"/>
      <c r="AT434" s="211"/>
      <c r="AU434"/>
      <c r="AV434"/>
    </row>
    <row r="435" spans="43:48" x14ac:dyDescent="0.25">
      <c r="AQ435" s="681"/>
      <c r="AT435" s="211"/>
      <c r="AU435"/>
      <c r="AV435"/>
    </row>
    <row r="436" spans="43:48" x14ac:dyDescent="0.25">
      <c r="AQ436" s="681"/>
      <c r="AT436" s="211"/>
      <c r="AU436"/>
      <c r="AV436"/>
    </row>
    <row r="437" spans="43:48" x14ac:dyDescent="0.25">
      <c r="AQ437" s="681"/>
      <c r="AT437" s="211"/>
      <c r="AU437"/>
      <c r="AV437"/>
    </row>
    <row r="438" spans="43:48" x14ac:dyDescent="0.25">
      <c r="AQ438" s="681"/>
      <c r="AT438" s="211"/>
      <c r="AU438"/>
      <c r="AV438"/>
    </row>
    <row r="439" spans="43:48" x14ac:dyDescent="0.25">
      <c r="AQ439" s="681"/>
      <c r="AT439" s="211"/>
      <c r="AU439"/>
      <c r="AV439"/>
    </row>
    <row r="440" spans="43:48" x14ac:dyDescent="0.25">
      <c r="AQ440" s="681"/>
      <c r="AT440" s="211"/>
      <c r="AU440"/>
      <c r="AV440"/>
    </row>
    <row r="441" spans="43:48" x14ac:dyDescent="0.25">
      <c r="AQ441" s="681"/>
      <c r="AT441" s="211"/>
      <c r="AU441"/>
      <c r="AV441"/>
    </row>
    <row r="442" spans="43:48" x14ac:dyDescent="0.25">
      <c r="AQ442" s="681"/>
      <c r="AT442" s="211"/>
      <c r="AU442"/>
      <c r="AV442"/>
    </row>
    <row r="443" spans="43:48" x14ac:dyDescent="0.25">
      <c r="AQ443" s="681"/>
      <c r="AT443" s="211"/>
      <c r="AU443"/>
      <c r="AV443"/>
    </row>
    <row r="444" spans="43:48" x14ac:dyDescent="0.25">
      <c r="AQ444" s="681"/>
      <c r="AT444" s="211"/>
      <c r="AU444"/>
      <c r="AV444"/>
    </row>
    <row r="445" spans="43:48" x14ac:dyDescent="0.25">
      <c r="AT445" s="211"/>
      <c r="AU445"/>
      <c r="AV445"/>
    </row>
    <row r="446" spans="43:48" x14ac:dyDescent="0.25">
      <c r="AT446" s="211"/>
      <c r="AU446"/>
      <c r="AV446"/>
    </row>
    <row r="447" spans="43:48" x14ac:dyDescent="0.25">
      <c r="AT447" s="211"/>
      <c r="AU447"/>
      <c r="AV447"/>
    </row>
    <row r="448" spans="43:48" x14ac:dyDescent="0.25">
      <c r="AT448" s="211"/>
      <c r="AU448"/>
      <c r="AV448"/>
    </row>
    <row r="449" spans="46:48" x14ac:dyDescent="0.25">
      <c r="AT449" s="211"/>
      <c r="AU449"/>
      <c r="AV449"/>
    </row>
    <row r="450" spans="46:48" x14ac:dyDescent="0.25">
      <c r="AT450" s="211"/>
      <c r="AU450"/>
      <c r="AV450"/>
    </row>
    <row r="451" spans="46:48" x14ac:dyDescent="0.25">
      <c r="AT451" s="211"/>
      <c r="AU451"/>
      <c r="AV451"/>
    </row>
    <row r="452" spans="46:48" x14ac:dyDescent="0.25">
      <c r="AT452" s="211"/>
      <c r="AU452"/>
      <c r="AV452"/>
    </row>
    <row r="453" spans="46:48" x14ac:dyDescent="0.25">
      <c r="AT453" s="211"/>
      <c r="AU453"/>
      <c r="AV453"/>
    </row>
    <row r="454" spans="46:48" x14ac:dyDescent="0.25">
      <c r="AT454" s="211"/>
      <c r="AU454"/>
      <c r="AV454"/>
    </row>
    <row r="455" spans="46:48" x14ac:dyDescent="0.25">
      <c r="AT455" s="211"/>
      <c r="AU455"/>
      <c r="AV455"/>
    </row>
    <row r="456" spans="46:48" x14ac:dyDescent="0.25">
      <c r="AT456" s="211"/>
      <c r="AU456"/>
      <c r="AV456"/>
    </row>
    <row r="457" spans="46:48" x14ac:dyDescent="0.25">
      <c r="AT457" s="211"/>
      <c r="AU457"/>
      <c r="AV457"/>
    </row>
    <row r="458" spans="46:48" x14ac:dyDescent="0.25">
      <c r="AT458" s="211"/>
      <c r="AU458"/>
      <c r="AV458"/>
    </row>
    <row r="459" spans="46:48" x14ac:dyDescent="0.25">
      <c r="AT459" s="211"/>
      <c r="AU459"/>
      <c r="AV459"/>
    </row>
    <row r="460" spans="46:48" x14ac:dyDescent="0.25">
      <c r="AT460" s="211"/>
      <c r="AU460"/>
      <c r="AV460"/>
    </row>
    <row r="461" spans="46:48" x14ac:dyDescent="0.25">
      <c r="AT461" s="211"/>
      <c r="AU461"/>
      <c r="AV461"/>
    </row>
    <row r="462" spans="46:48" x14ac:dyDescent="0.25">
      <c r="AT462" s="211"/>
      <c r="AU462"/>
      <c r="AV462"/>
    </row>
    <row r="463" spans="46:48" x14ac:dyDescent="0.25">
      <c r="AT463" s="211"/>
      <c r="AU463"/>
      <c r="AV463"/>
    </row>
    <row r="464" spans="46:48" x14ac:dyDescent="0.25">
      <c r="AT464" s="211"/>
      <c r="AU464"/>
      <c r="AV464"/>
    </row>
    <row r="465" spans="46:48" x14ac:dyDescent="0.25">
      <c r="AT465" s="211"/>
      <c r="AU465"/>
      <c r="AV465"/>
    </row>
    <row r="466" spans="46:48" x14ac:dyDescent="0.25">
      <c r="AT466" s="211"/>
      <c r="AU466"/>
      <c r="AV466"/>
    </row>
    <row r="467" spans="46:48" x14ac:dyDescent="0.25">
      <c r="AT467" s="233"/>
      <c r="AU467" s="408"/>
      <c r="AV467" s="408"/>
    </row>
  </sheetData>
  <phoneticPr fontId="48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CY482"/>
  <sheetViews>
    <sheetView tabSelected="1" zoomScaleNormal="100" workbookViewId="0">
      <pane xSplit="2" ySplit="1" topLeftCell="BU80" activePane="bottomRight" state="frozen"/>
      <selection activeCell="AD101" sqref="AD101"/>
      <selection pane="topRight" activeCell="AD101" sqref="AD101"/>
      <selection pane="bottomLeft" activeCell="AD101" sqref="AD101"/>
      <selection pane="bottomRight" activeCell="BX97" sqref="BX97"/>
    </sheetView>
  </sheetViews>
  <sheetFormatPr defaultRowHeight="15" x14ac:dyDescent="0.25"/>
  <cols>
    <col min="2" max="2" width="57.28515625" style="451" customWidth="1"/>
    <col min="3" max="5" width="17.28515625" style="1" customWidth="1"/>
    <col min="6" max="9" width="15.5703125" style="1" customWidth="1"/>
    <col min="10" max="11" width="17.140625" style="1" customWidth="1"/>
    <col min="12" max="12" width="18.85546875" style="1" customWidth="1"/>
    <col min="13" max="13" width="14.7109375" style="1" customWidth="1"/>
    <col min="14" max="14" width="13.5703125" customWidth="1"/>
    <col min="15" max="15" width="21.5703125" style="1" customWidth="1"/>
    <col min="16" max="17" width="22" style="1" customWidth="1"/>
    <col min="18" max="21" width="30" style="1" customWidth="1"/>
    <col min="22" max="23" width="16" customWidth="1"/>
    <col min="24" max="24" width="13.28515625" style="120" customWidth="1"/>
    <col min="25" max="25" width="4.7109375" customWidth="1"/>
    <col min="26" max="26" width="13.28515625" customWidth="1"/>
    <col min="27" max="27" width="23.7109375" customWidth="1"/>
    <col min="28" max="28" width="19.28515625" customWidth="1"/>
    <col min="29" max="30" width="18.28515625" customWidth="1"/>
    <col min="31" max="31" width="19.5703125" customWidth="1"/>
    <col min="32" max="32" width="15.7109375" style="1" customWidth="1"/>
    <col min="33" max="33" width="14.42578125" style="14" customWidth="1"/>
    <col min="34" max="34" width="15.85546875" style="219" customWidth="1"/>
    <col min="35" max="35" width="23.85546875" style="216" customWidth="1"/>
    <col min="36" max="36" width="17.42578125" style="1" customWidth="1"/>
    <col min="37" max="37" width="15.5703125" customWidth="1"/>
    <col min="38" max="38" width="14" customWidth="1"/>
    <col min="39" max="39" width="21.5703125" customWidth="1"/>
    <col min="40" max="40" width="19.42578125" customWidth="1"/>
    <col min="41" max="41" width="17.85546875" customWidth="1"/>
    <col min="42" max="42" width="18.28515625" style="55" customWidth="1"/>
    <col min="43" max="43" width="18" style="55" customWidth="1"/>
    <col min="44" max="44" width="18.28515625" customWidth="1"/>
    <col min="45" max="45" width="13.28515625" customWidth="1"/>
    <col min="46" max="46" width="16.5703125" style="55" customWidth="1"/>
    <col min="47" max="47" width="17.42578125" style="54" customWidth="1"/>
    <col min="48" max="48" width="17" style="54" customWidth="1"/>
    <col min="49" max="49" width="19.5703125" customWidth="1"/>
    <col min="50" max="50" width="18.140625" style="1" customWidth="1"/>
    <col min="51" max="51" width="16.85546875" customWidth="1"/>
    <col min="52" max="52" width="17.85546875" style="1" customWidth="1"/>
    <col min="53" max="53" width="18.28515625" customWidth="1"/>
    <col min="54" max="54" width="19.140625" style="506" customWidth="1"/>
    <col min="55" max="55" width="19.7109375" style="501" customWidth="1"/>
    <col min="56" max="56" width="19.28515625" style="501" customWidth="1"/>
    <col min="57" max="57" width="19.42578125" style="506" customWidth="1"/>
    <col min="58" max="58" width="16.5703125" style="1" customWidth="1"/>
    <col min="59" max="59" width="16" style="362" customWidth="1"/>
    <col min="60" max="60" width="16.140625" style="1" bestFit="1" customWidth="1"/>
    <col min="61" max="61" width="16.140625" style="1" customWidth="1"/>
    <col min="62" max="62" width="13.85546875" style="1" hidden="1" customWidth="1"/>
    <col min="63" max="63" width="18.85546875" style="14" customWidth="1"/>
    <col min="64" max="64" width="18.7109375" customWidth="1"/>
    <col min="65" max="66" width="17.140625" customWidth="1"/>
    <col min="67" max="67" width="17" style="640" bestFit="1" customWidth="1"/>
    <col min="68" max="68" width="17" style="640" customWidth="1"/>
    <col min="69" max="69" width="18.42578125" style="641" customWidth="1"/>
    <col min="70" max="70" width="19.140625" style="1" customWidth="1"/>
    <col min="71" max="71" width="18.140625" customWidth="1"/>
    <col min="72" max="72" width="20.5703125" customWidth="1"/>
    <col min="73" max="73" width="17.85546875" style="1" customWidth="1"/>
    <col min="74" max="74" width="20.5703125" style="729" customWidth="1"/>
    <col min="76" max="76" width="13.7109375" style="1" bestFit="1" customWidth="1"/>
  </cols>
  <sheetData>
    <row r="1" spans="1:74" ht="47.25" x14ac:dyDescent="0.25">
      <c r="A1" s="54"/>
      <c r="B1" s="604" t="s">
        <v>655</v>
      </c>
      <c r="C1" s="55" t="s">
        <v>0</v>
      </c>
      <c r="D1" s="55" t="s">
        <v>1</v>
      </c>
      <c r="E1" s="55" t="s">
        <v>6</v>
      </c>
      <c r="F1" s="55" t="s">
        <v>193</v>
      </c>
      <c r="G1" s="57" t="s">
        <v>225</v>
      </c>
      <c r="H1" s="55" t="s">
        <v>224</v>
      </c>
      <c r="I1" s="55" t="s">
        <v>313</v>
      </c>
      <c r="J1" s="55" t="s">
        <v>311</v>
      </c>
      <c r="K1" s="55" t="s">
        <v>312</v>
      </c>
      <c r="L1" s="55" t="s">
        <v>317</v>
      </c>
      <c r="M1" s="55"/>
      <c r="N1" s="54"/>
      <c r="O1" s="55" t="s">
        <v>324</v>
      </c>
      <c r="P1" s="55" t="s">
        <v>325</v>
      </c>
      <c r="Q1" s="55" t="s">
        <v>343</v>
      </c>
      <c r="R1" s="65" t="s">
        <v>346</v>
      </c>
      <c r="S1" s="65" t="s">
        <v>379</v>
      </c>
      <c r="T1" s="65" t="s">
        <v>378</v>
      </c>
      <c r="U1" s="65" t="s">
        <v>377</v>
      </c>
      <c r="V1" s="60" t="s">
        <v>399</v>
      </c>
      <c r="W1" s="60" t="s">
        <v>400</v>
      </c>
      <c r="X1" s="121" t="s">
        <v>401</v>
      </c>
      <c r="Y1" s="54"/>
      <c r="Z1" s="54" t="s">
        <v>407</v>
      </c>
      <c r="AA1" s="9" t="s">
        <v>425</v>
      </c>
      <c r="AB1" s="55" t="s">
        <v>438</v>
      </c>
      <c r="AC1" s="66" t="s">
        <v>439</v>
      </c>
      <c r="AD1" s="205" t="s">
        <v>471</v>
      </c>
      <c r="AE1" s="206" t="s">
        <v>479</v>
      </c>
      <c r="AF1" s="236" t="s">
        <v>487</v>
      </c>
      <c r="AG1" s="271" t="s">
        <v>480</v>
      </c>
      <c r="AH1" s="213" t="s">
        <v>481</v>
      </c>
      <c r="AI1" s="214" t="s">
        <v>483</v>
      </c>
      <c r="AJ1" s="55"/>
      <c r="AK1" s="339" t="s">
        <v>539</v>
      </c>
      <c r="AL1" s="54"/>
      <c r="AM1" s="346" t="s">
        <v>544</v>
      </c>
      <c r="AN1" s="54" t="s">
        <v>549</v>
      </c>
      <c r="AO1" s="259" t="s">
        <v>550</v>
      </c>
      <c r="AP1" s="357" t="s">
        <v>556</v>
      </c>
      <c r="AQ1" s="357" t="s">
        <v>557</v>
      </c>
      <c r="AR1" s="402" t="s">
        <v>559</v>
      </c>
      <c r="AS1" s="402" t="s">
        <v>561</v>
      </c>
      <c r="AT1" s="427" t="s">
        <v>566</v>
      </c>
      <c r="AU1" s="427" t="s">
        <v>568</v>
      </c>
      <c r="AV1" s="427" t="s">
        <v>569</v>
      </c>
      <c r="AW1" s="428" t="s">
        <v>567</v>
      </c>
      <c r="AX1" s="429" t="s">
        <v>570</v>
      </c>
      <c r="AY1" s="427" t="s">
        <v>592</v>
      </c>
      <c r="AZ1" s="427" t="s">
        <v>595</v>
      </c>
      <c r="BA1" s="427" t="s">
        <v>596</v>
      </c>
      <c r="BB1" s="504" t="s">
        <v>610</v>
      </c>
      <c r="BC1" s="500" t="s">
        <v>606</v>
      </c>
      <c r="BD1" s="500" t="s">
        <v>607</v>
      </c>
      <c r="BE1" s="500" t="s">
        <v>612</v>
      </c>
      <c r="BF1" s="512" t="s">
        <v>611</v>
      </c>
      <c r="BG1" s="538" t="s">
        <v>614</v>
      </c>
      <c r="BH1" s="223" t="s">
        <v>615</v>
      </c>
      <c r="BI1" s="500" t="s">
        <v>647</v>
      </c>
      <c r="BJ1" s="570" t="s">
        <v>641</v>
      </c>
      <c r="BK1" s="570" t="s">
        <v>654</v>
      </c>
      <c r="BL1" s="603" t="s">
        <v>653</v>
      </c>
      <c r="BM1" s="608" t="s">
        <v>688</v>
      </c>
      <c r="BN1" s="645" t="s">
        <v>706</v>
      </c>
      <c r="BO1" s="638" t="s">
        <v>697</v>
      </c>
      <c r="BP1" s="638" t="s">
        <v>699</v>
      </c>
      <c r="BQ1" s="638" t="s">
        <v>698</v>
      </c>
      <c r="BR1" s="660" t="s">
        <v>712</v>
      </c>
      <c r="BS1" s="660" t="s">
        <v>724</v>
      </c>
      <c r="BT1" s="724" t="s">
        <v>728</v>
      </c>
      <c r="BU1" s="818" t="s">
        <v>733</v>
      </c>
      <c r="BV1" s="803" t="s">
        <v>767</v>
      </c>
    </row>
    <row r="2" spans="1:74" x14ac:dyDescent="0.25">
      <c r="A2" s="54" t="s">
        <v>8</v>
      </c>
      <c r="B2" s="446" t="s">
        <v>175</v>
      </c>
      <c r="C2" s="55">
        <v>150000</v>
      </c>
      <c r="D2" s="55">
        <v>0</v>
      </c>
      <c r="E2" s="55">
        <v>0</v>
      </c>
      <c r="F2" s="55">
        <v>0</v>
      </c>
      <c r="G2" s="55"/>
      <c r="H2" s="55"/>
      <c r="I2" s="55">
        <f>H2/11+H2</f>
        <v>0</v>
      </c>
      <c r="J2" s="55">
        <v>0</v>
      </c>
      <c r="K2" s="55">
        <v>0</v>
      </c>
      <c r="L2" s="55">
        <v>0</v>
      </c>
      <c r="M2" s="55">
        <f>IF(I2&lt;&gt;0,L2/I2*100,0)</f>
        <v>0</v>
      </c>
      <c r="N2" s="54"/>
      <c r="O2" s="55"/>
      <c r="P2" s="55"/>
      <c r="Q2" s="55"/>
      <c r="R2" s="55"/>
      <c r="S2" s="55"/>
      <c r="T2" s="55"/>
      <c r="U2" s="55"/>
      <c r="V2" s="69">
        <f>U2</f>
        <v>0</v>
      </c>
      <c r="W2" s="69">
        <f>U2</f>
        <v>0</v>
      </c>
      <c r="X2" s="122"/>
      <c r="Y2" s="54"/>
      <c r="Z2" s="207" t="e">
        <f>W2/T2</f>
        <v>#DIV/0!</v>
      </c>
      <c r="AA2" s="69">
        <f>W2</f>
        <v>0</v>
      </c>
      <c r="AB2" s="55"/>
      <c r="AC2" s="55"/>
      <c r="AD2" s="55"/>
      <c r="AE2" s="54"/>
      <c r="AF2" s="198"/>
      <c r="AG2" s="65"/>
      <c r="AH2" s="215">
        <f>AG2/10*12</f>
        <v>0</v>
      </c>
      <c r="AJ2" s="55"/>
      <c r="AK2" s="69">
        <f>AI2</f>
        <v>0</v>
      </c>
      <c r="AL2" s="54"/>
      <c r="AM2" s="54"/>
      <c r="AN2" s="54"/>
      <c r="AO2" s="259"/>
      <c r="AR2" s="54"/>
      <c r="AS2" s="54"/>
      <c r="AT2" s="65"/>
      <c r="AW2" s="69">
        <f>AU2</f>
        <v>0</v>
      </c>
      <c r="AX2" s="65"/>
      <c r="AY2" s="69">
        <f>AX2</f>
        <v>0</v>
      </c>
      <c r="AZ2" s="55">
        <f t="shared" ref="AZ2:AZ17" si="0">AY2</f>
        <v>0</v>
      </c>
      <c r="BA2" s="69">
        <f t="shared" ref="BA2:BA36" si="1">AZ2</f>
        <v>0</v>
      </c>
      <c r="BB2" s="501"/>
      <c r="BE2" s="501"/>
      <c r="BF2" s="221"/>
      <c r="BG2" s="358"/>
      <c r="BH2" s="223"/>
      <c r="BI2" s="55"/>
      <c r="BJ2" s="55"/>
      <c r="BK2" s="65"/>
      <c r="BL2" s="69">
        <f>BK2/10*12</f>
        <v>0</v>
      </c>
      <c r="BM2" s="69">
        <f>BL2/10*12</f>
        <v>0</v>
      </c>
      <c r="BN2" s="69"/>
      <c r="BO2" s="576"/>
      <c r="BP2" s="576"/>
      <c r="BQ2" s="54"/>
      <c r="BR2" s="55"/>
      <c r="BS2" s="55"/>
      <c r="BT2" s="223"/>
      <c r="BU2" s="223"/>
      <c r="BV2" s="347"/>
    </row>
    <row r="3" spans="1:74" x14ac:dyDescent="0.25">
      <c r="A3" s="54" t="s">
        <v>9</v>
      </c>
      <c r="B3" s="446" t="s">
        <v>176</v>
      </c>
      <c r="C3" s="55">
        <v>0</v>
      </c>
      <c r="D3" s="55">
        <v>0</v>
      </c>
      <c r="E3" s="55">
        <v>0</v>
      </c>
      <c r="F3" s="55">
        <v>0</v>
      </c>
      <c r="G3" s="55"/>
      <c r="H3" s="55"/>
      <c r="I3" s="55">
        <f t="shared" ref="I3:I77" si="2">H3/11+H3</f>
        <v>0</v>
      </c>
      <c r="J3" s="55">
        <v>0</v>
      </c>
      <c r="K3" s="55">
        <v>0</v>
      </c>
      <c r="L3" s="55">
        <v>0</v>
      </c>
      <c r="M3" s="55">
        <f t="shared" ref="M3:M77" si="3">IF(I3&lt;&gt;0,L3/I3*100,0)</f>
        <v>0</v>
      </c>
      <c r="N3" s="54"/>
      <c r="O3" s="55"/>
      <c r="P3" s="55"/>
      <c r="Q3" s="55"/>
      <c r="R3" s="55"/>
      <c r="S3" s="55"/>
      <c r="T3" s="55"/>
      <c r="U3" s="55"/>
      <c r="V3" s="69">
        <f t="shared" ref="V3:V76" si="4">U3</f>
        <v>0</v>
      </c>
      <c r="W3" s="69">
        <f t="shared" ref="W3:W76" si="5">U3</f>
        <v>0</v>
      </c>
      <c r="X3" s="122"/>
      <c r="Y3" s="54"/>
      <c r="Z3" s="207" t="e">
        <f t="shared" ref="Z3:Z72" si="6">W3/T3</f>
        <v>#DIV/0!</v>
      </c>
      <c r="AA3" s="69">
        <f t="shared" ref="AA3:AA76" si="7">W3</f>
        <v>0</v>
      </c>
      <c r="AB3" s="55"/>
      <c r="AC3" s="55"/>
      <c r="AD3" s="55"/>
      <c r="AE3" s="54"/>
      <c r="AF3" s="55"/>
      <c r="AG3" s="65"/>
      <c r="AH3" s="215">
        <f t="shared" ref="AH3:AH36" si="8">AG3/10*12</f>
        <v>0</v>
      </c>
      <c r="AJ3" s="55"/>
      <c r="AK3" s="69">
        <f t="shared" ref="AK3:AK71" si="9">AI3</f>
        <v>0</v>
      </c>
      <c r="AL3" s="54"/>
      <c r="AM3" s="54"/>
      <c r="AN3" s="54"/>
      <c r="AO3" s="259"/>
      <c r="AR3" s="54"/>
      <c r="AS3" s="54"/>
      <c r="AT3" s="65"/>
      <c r="AW3" s="69">
        <f t="shared" ref="AW3:AX71" si="10">AU3</f>
        <v>0</v>
      </c>
      <c r="AX3" s="65"/>
      <c r="AY3" s="69">
        <f t="shared" ref="AY3:AY70" si="11">AX3</f>
        <v>0</v>
      </c>
      <c r="AZ3" s="55">
        <f t="shared" si="0"/>
        <v>0</v>
      </c>
      <c r="BA3" s="69">
        <f t="shared" si="1"/>
        <v>0</v>
      </c>
      <c r="BB3" s="501"/>
      <c r="BE3" s="501"/>
      <c r="BF3" s="221"/>
      <c r="BG3" s="358"/>
      <c r="BH3" s="223"/>
      <c r="BI3" s="55"/>
      <c r="BJ3" s="55"/>
      <c r="BK3" s="65"/>
      <c r="BL3" s="69">
        <f t="shared" ref="BL3:BM70" si="12">BK3/10*12</f>
        <v>0</v>
      </c>
      <c r="BM3" s="69">
        <f t="shared" si="12"/>
        <v>0</v>
      </c>
      <c r="BN3" s="69"/>
      <c r="BO3" s="576"/>
      <c r="BP3" s="576"/>
      <c r="BQ3" s="54"/>
      <c r="BR3" s="55"/>
      <c r="BS3" s="55"/>
      <c r="BT3" s="223"/>
      <c r="BU3" s="223"/>
      <c r="BV3" s="347"/>
    </row>
    <row r="4" spans="1:74" x14ac:dyDescent="0.25">
      <c r="A4" s="54" t="s">
        <v>584</v>
      </c>
      <c r="B4" s="446" t="s">
        <v>588</v>
      </c>
      <c r="C4" s="55">
        <v>0</v>
      </c>
      <c r="D4" s="55">
        <v>0</v>
      </c>
      <c r="E4" s="55">
        <v>0</v>
      </c>
      <c r="F4" s="55">
        <v>0</v>
      </c>
      <c r="G4" s="55"/>
      <c r="H4" s="55"/>
      <c r="I4" s="55">
        <f t="shared" si="2"/>
        <v>0</v>
      </c>
      <c r="J4" s="55">
        <v>0</v>
      </c>
      <c r="K4" s="55">
        <v>0</v>
      </c>
      <c r="L4" s="55">
        <v>0</v>
      </c>
      <c r="M4" s="55">
        <f t="shared" si="3"/>
        <v>0</v>
      </c>
      <c r="N4" s="54"/>
      <c r="O4" s="55"/>
      <c r="P4" s="55"/>
      <c r="Q4" s="55"/>
      <c r="R4" s="55"/>
      <c r="S4" s="55"/>
      <c r="T4" s="55"/>
      <c r="U4" s="55"/>
      <c r="V4" s="69">
        <f t="shared" si="4"/>
        <v>0</v>
      </c>
      <c r="W4" s="69">
        <f t="shared" si="5"/>
        <v>0</v>
      </c>
      <c r="X4" s="122"/>
      <c r="Y4" s="54"/>
      <c r="Z4" s="207" t="e">
        <f t="shared" si="6"/>
        <v>#DIV/0!</v>
      </c>
      <c r="AA4" s="69">
        <f t="shared" si="7"/>
        <v>0</v>
      </c>
      <c r="AB4" s="55"/>
      <c r="AC4" s="55"/>
      <c r="AD4" s="55"/>
      <c r="AE4" s="54"/>
      <c r="AF4" s="55"/>
      <c r="AG4" s="65"/>
      <c r="AH4" s="215">
        <f t="shared" si="8"/>
        <v>0</v>
      </c>
      <c r="AJ4" s="55"/>
      <c r="AK4" s="69">
        <f t="shared" si="9"/>
        <v>0</v>
      </c>
      <c r="AL4" s="54"/>
      <c r="AM4" s="54"/>
      <c r="AN4" s="54"/>
      <c r="AO4" s="259"/>
      <c r="AR4" s="54"/>
      <c r="AS4" s="54"/>
      <c r="AT4" s="65"/>
      <c r="AW4" s="69">
        <f t="shared" si="10"/>
        <v>0</v>
      </c>
      <c r="AX4" s="65"/>
      <c r="AY4" s="69">
        <f t="shared" si="11"/>
        <v>0</v>
      </c>
      <c r="AZ4" s="55">
        <f t="shared" si="0"/>
        <v>0</v>
      </c>
      <c r="BA4" s="69">
        <f t="shared" si="1"/>
        <v>0</v>
      </c>
      <c r="BB4" s="501"/>
      <c r="BE4" s="501"/>
      <c r="BF4" s="221"/>
      <c r="BG4" s="358"/>
      <c r="BH4" s="223"/>
      <c r="BI4" s="55"/>
      <c r="BJ4" s="55"/>
      <c r="BK4" s="65"/>
      <c r="BL4" s="69">
        <f t="shared" si="12"/>
        <v>0</v>
      </c>
      <c r="BM4" s="69">
        <f t="shared" si="12"/>
        <v>0</v>
      </c>
      <c r="BN4" s="69"/>
      <c r="BO4" s="576"/>
      <c r="BP4" s="576"/>
      <c r="BQ4" s="54"/>
      <c r="BR4" s="55"/>
      <c r="BS4" s="55"/>
      <c r="BT4" s="223"/>
      <c r="BU4" s="223"/>
      <c r="BV4" s="347"/>
    </row>
    <row r="5" spans="1:74" x14ac:dyDescent="0.25">
      <c r="A5" s="54" t="s">
        <v>585</v>
      </c>
      <c r="B5" s="446" t="s">
        <v>587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4"/>
      <c r="O5" s="55"/>
      <c r="P5" s="55"/>
      <c r="Q5" s="55"/>
      <c r="R5" s="55"/>
      <c r="S5" s="55"/>
      <c r="T5" s="55"/>
      <c r="U5" s="55"/>
      <c r="V5" s="69"/>
      <c r="W5" s="69"/>
      <c r="X5" s="122"/>
      <c r="Y5" s="54"/>
      <c r="Z5" s="207"/>
      <c r="AA5" s="69"/>
      <c r="AB5" s="55"/>
      <c r="AC5" s="55"/>
      <c r="AD5" s="55"/>
      <c r="AE5" s="54"/>
      <c r="AF5" s="55"/>
      <c r="AG5" s="65"/>
      <c r="AH5" s="215"/>
      <c r="AJ5" s="55"/>
      <c r="AK5" s="69"/>
      <c r="AL5" s="54"/>
      <c r="AM5" s="54"/>
      <c r="AN5" s="54"/>
      <c r="AO5" s="259"/>
      <c r="AR5" s="54"/>
      <c r="AS5" s="54"/>
      <c r="AT5" s="65"/>
      <c r="AW5" s="69"/>
      <c r="AX5" s="65"/>
      <c r="AY5" s="69">
        <f t="shared" si="11"/>
        <v>0</v>
      </c>
      <c r="AZ5" s="55">
        <f t="shared" si="0"/>
        <v>0</v>
      </c>
      <c r="BA5" s="69">
        <f t="shared" si="1"/>
        <v>0</v>
      </c>
      <c r="BB5" s="501"/>
      <c r="BE5" s="501"/>
      <c r="BF5" s="221"/>
      <c r="BG5" s="358"/>
      <c r="BH5" s="223"/>
      <c r="BI5" s="55"/>
      <c r="BJ5" s="55"/>
      <c r="BK5" s="65"/>
      <c r="BL5" s="69">
        <f t="shared" si="12"/>
        <v>0</v>
      </c>
      <c r="BM5" s="69">
        <f t="shared" si="12"/>
        <v>0</v>
      </c>
      <c r="BN5" s="69"/>
      <c r="BO5" s="576"/>
      <c r="BP5" s="576"/>
      <c r="BQ5" s="54"/>
      <c r="BR5" s="55"/>
      <c r="BS5" s="55"/>
      <c r="BT5" s="223"/>
      <c r="BU5" s="223"/>
      <c r="BV5" s="347"/>
    </row>
    <row r="6" spans="1:74" x14ac:dyDescent="0.25">
      <c r="A6" s="54" t="s">
        <v>10</v>
      </c>
      <c r="B6" s="446" t="s">
        <v>178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>
        <f t="shared" si="2"/>
        <v>0</v>
      </c>
      <c r="J6" s="55">
        <v>0</v>
      </c>
      <c r="K6" s="55">
        <v>0</v>
      </c>
      <c r="L6" s="55">
        <v>0</v>
      </c>
      <c r="M6" s="55">
        <f t="shared" si="3"/>
        <v>0</v>
      </c>
      <c r="N6" s="54"/>
      <c r="O6" s="55"/>
      <c r="P6" s="55"/>
      <c r="Q6" s="55"/>
      <c r="R6" s="55"/>
      <c r="S6" s="55"/>
      <c r="T6" s="55"/>
      <c r="U6" s="55"/>
      <c r="V6" s="69">
        <f t="shared" si="4"/>
        <v>0</v>
      </c>
      <c r="W6" s="69">
        <f t="shared" si="5"/>
        <v>0</v>
      </c>
      <c r="X6" s="122"/>
      <c r="Y6" s="54"/>
      <c r="Z6" s="207" t="e">
        <f t="shared" si="6"/>
        <v>#DIV/0!</v>
      </c>
      <c r="AA6" s="69">
        <f t="shared" si="7"/>
        <v>0</v>
      </c>
      <c r="AB6" s="55"/>
      <c r="AC6" s="55"/>
      <c r="AD6" s="55"/>
      <c r="AE6" s="54"/>
      <c r="AF6" s="55"/>
      <c r="AG6" s="65"/>
      <c r="AH6" s="215">
        <f t="shared" si="8"/>
        <v>0</v>
      </c>
      <c r="AJ6" s="55"/>
      <c r="AK6" s="69">
        <f t="shared" si="9"/>
        <v>0</v>
      </c>
      <c r="AL6" s="54"/>
      <c r="AM6" s="54"/>
      <c r="AN6" s="54"/>
      <c r="AO6" s="259"/>
      <c r="AR6" s="54"/>
      <c r="AS6" s="54"/>
      <c r="AT6" s="65"/>
      <c r="AW6" s="69">
        <f t="shared" si="10"/>
        <v>0</v>
      </c>
      <c r="AX6" s="65"/>
      <c r="AY6" s="69">
        <f t="shared" si="11"/>
        <v>0</v>
      </c>
      <c r="AZ6" s="55">
        <f t="shared" si="0"/>
        <v>0</v>
      </c>
      <c r="BA6" s="69">
        <f t="shared" si="1"/>
        <v>0</v>
      </c>
      <c r="BB6" s="501"/>
      <c r="BE6" s="501"/>
      <c r="BF6" s="221"/>
      <c r="BG6" s="358"/>
      <c r="BH6" s="223"/>
      <c r="BI6" s="55"/>
      <c r="BJ6" s="55"/>
      <c r="BK6" s="65"/>
      <c r="BL6" s="69">
        <f t="shared" si="12"/>
        <v>0</v>
      </c>
      <c r="BM6" s="69">
        <f t="shared" si="12"/>
        <v>0</v>
      </c>
      <c r="BN6" s="69"/>
      <c r="BO6" s="576"/>
      <c r="BP6" s="576"/>
      <c r="BQ6" s="54"/>
      <c r="BR6" s="55"/>
      <c r="BS6" s="55"/>
      <c r="BT6" s="223"/>
      <c r="BU6" s="223"/>
      <c r="BV6" s="347"/>
    </row>
    <row r="7" spans="1:74" x14ac:dyDescent="0.25">
      <c r="A7" s="54" t="s">
        <v>11</v>
      </c>
      <c r="B7" s="446" t="s">
        <v>179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>
        <f t="shared" si="2"/>
        <v>0</v>
      </c>
      <c r="J7" s="55">
        <v>0</v>
      </c>
      <c r="K7" s="55">
        <v>0</v>
      </c>
      <c r="L7" s="55">
        <v>0</v>
      </c>
      <c r="M7" s="55">
        <f t="shared" si="3"/>
        <v>0</v>
      </c>
      <c r="N7" s="54"/>
      <c r="O7" s="55"/>
      <c r="P7" s="55"/>
      <c r="Q7" s="55"/>
      <c r="R7" s="55"/>
      <c r="S7" s="55"/>
      <c r="T7" s="55"/>
      <c r="U7" s="55"/>
      <c r="V7" s="69">
        <f t="shared" si="4"/>
        <v>0</v>
      </c>
      <c r="W7" s="69">
        <f t="shared" si="5"/>
        <v>0</v>
      </c>
      <c r="X7" s="122"/>
      <c r="Y7" s="54"/>
      <c r="Z7" s="207" t="e">
        <f t="shared" si="6"/>
        <v>#DIV/0!</v>
      </c>
      <c r="AA7" s="69">
        <f t="shared" si="7"/>
        <v>0</v>
      </c>
      <c r="AB7" s="55"/>
      <c r="AC7" s="55"/>
      <c r="AD7" s="55"/>
      <c r="AE7" s="54"/>
      <c r="AF7" s="55"/>
      <c r="AG7" s="65"/>
      <c r="AH7" s="215">
        <f t="shared" si="8"/>
        <v>0</v>
      </c>
      <c r="AJ7" s="55"/>
      <c r="AK7" s="69">
        <f t="shared" si="9"/>
        <v>0</v>
      </c>
      <c r="AL7" s="54"/>
      <c r="AM7" s="54"/>
      <c r="AN7" s="54"/>
      <c r="AO7" s="259"/>
      <c r="AR7" s="54"/>
      <c r="AS7" s="54"/>
      <c r="AT7" s="65"/>
      <c r="AW7" s="69">
        <f t="shared" si="10"/>
        <v>0</v>
      </c>
      <c r="AX7" s="65"/>
      <c r="AY7" s="69">
        <f t="shared" si="11"/>
        <v>0</v>
      </c>
      <c r="AZ7" s="55">
        <f t="shared" si="0"/>
        <v>0</v>
      </c>
      <c r="BA7" s="69">
        <f t="shared" si="1"/>
        <v>0</v>
      </c>
      <c r="BB7" s="501"/>
      <c r="BE7" s="501"/>
      <c r="BF7" s="221"/>
      <c r="BG7" s="358"/>
      <c r="BH7" s="223"/>
      <c r="BI7" s="55"/>
      <c r="BJ7" s="55"/>
      <c r="BK7" s="65"/>
      <c r="BL7" s="69">
        <f t="shared" si="12"/>
        <v>0</v>
      </c>
      <c r="BM7" s="69">
        <f t="shared" si="12"/>
        <v>0</v>
      </c>
      <c r="BN7" s="69"/>
      <c r="BO7" s="576"/>
      <c r="BP7" s="576"/>
      <c r="BQ7" s="54"/>
      <c r="BR7" s="55"/>
      <c r="BS7" s="55"/>
      <c r="BT7" s="223"/>
      <c r="BU7" s="223"/>
      <c r="BV7" s="347"/>
    </row>
    <row r="8" spans="1:74" x14ac:dyDescent="0.25">
      <c r="A8" s="54" t="s">
        <v>443</v>
      </c>
      <c r="B8" s="446" t="s">
        <v>444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4"/>
      <c r="O8" s="55"/>
      <c r="P8" s="55"/>
      <c r="Q8" s="55"/>
      <c r="R8" s="55"/>
      <c r="S8" s="55"/>
      <c r="T8" s="55"/>
      <c r="U8" s="55"/>
      <c r="V8" s="69"/>
      <c r="W8" s="69"/>
      <c r="X8" s="122"/>
      <c r="Y8" s="54"/>
      <c r="Z8" s="207"/>
      <c r="AA8" s="69"/>
      <c r="AB8" s="55"/>
      <c r="AC8" s="55"/>
      <c r="AD8" s="55"/>
      <c r="AE8" s="54"/>
      <c r="AF8" s="55"/>
      <c r="AG8" s="65"/>
      <c r="AH8" s="215">
        <f t="shared" si="8"/>
        <v>0</v>
      </c>
      <c r="AJ8" s="55"/>
      <c r="AK8" s="69">
        <f t="shared" si="9"/>
        <v>0</v>
      </c>
      <c r="AL8" s="54"/>
      <c r="AM8" s="54"/>
      <c r="AN8" s="54"/>
      <c r="AO8" s="259"/>
      <c r="AR8" s="54"/>
      <c r="AS8" s="54"/>
      <c r="AT8" s="65"/>
      <c r="AW8" s="69">
        <f t="shared" si="10"/>
        <v>0</v>
      </c>
      <c r="AX8" s="65"/>
      <c r="AY8" s="69">
        <f t="shared" si="11"/>
        <v>0</v>
      </c>
      <c r="AZ8" s="55">
        <f t="shared" si="0"/>
        <v>0</v>
      </c>
      <c r="BA8" s="69">
        <f t="shared" si="1"/>
        <v>0</v>
      </c>
      <c r="BB8" s="501"/>
      <c r="BE8" s="501"/>
      <c r="BF8" s="221"/>
      <c r="BG8" s="358"/>
      <c r="BH8" s="223"/>
      <c r="BI8" s="55"/>
      <c r="BJ8" s="55"/>
      <c r="BK8" s="65"/>
      <c r="BL8" s="69">
        <f t="shared" si="12"/>
        <v>0</v>
      </c>
      <c r="BM8" s="69">
        <f t="shared" si="12"/>
        <v>0</v>
      </c>
      <c r="BN8" s="69"/>
      <c r="BO8" s="576"/>
      <c r="BP8" s="576"/>
      <c r="BQ8" s="54"/>
      <c r="BR8" s="55"/>
      <c r="BS8" s="55"/>
      <c r="BT8" s="223"/>
      <c r="BU8" s="223"/>
      <c r="BV8" s="347"/>
    </row>
    <row r="9" spans="1:74" x14ac:dyDescent="0.25">
      <c r="A9" s="54" t="s">
        <v>12</v>
      </c>
      <c r="B9" s="446" t="s">
        <v>180</v>
      </c>
      <c r="C9" s="55">
        <v>0</v>
      </c>
      <c r="D9" s="55">
        <v>0</v>
      </c>
      <c r="E9" s="55">
        <v>0</v>
      </c>
      <c r="F9" s="55">
        <v>1123057</v>
      </c>
      <c r="G9" s="55">
        <v>0</v>
      </c>
      <c r="H9" s="55">
        <v>1319477</v>
      </c>
      <c r="I9" s="55">
        <f t="shared" si="2"/>
        <v>1439429.4545454546</v>
      </c>
      <c r="J9" s="55">
        <v>0</v>
      </c>
      <c r="K9" s="55">
        <v>0</v>
      </c>
      <c r="L9" s="55">
        <v>0</v>
      </c>
      <c r="M9" s="55">
        <f t="shared" si="3"/>
        <v>0</v>
      </c>
      <c r="N9" s="54"/>
      <c r="O9" s="55"/>
      <c r="P9" s="55">
        <v>747137</v>
      </c>
      <c r="Q9" s="55">
        <v>747137</v>
      </c>
      <c r="R9" s="55"/>
      <c r="S9" s="55"/>
      <c r="T9" s="55">
        <v>747137</v>
      </c>
      <c r="U9" s="55"/>
      <c r="V9" s="69">
        <f t="shared" si="4"/>
        <v>0</v>
      </c>
      <c r="W9" s="69">
        <f t="shared" si="5"/>
        <v>0</v>
      </c>
      <c r="X9" s="122"/>
      <c r="Y9" s="54"/>
      <c r="Z9" s="207">
        <f t="shared" si="6"/>
        <v>0</v>
      </c>
      <c r="AA9" s="69">
        <f t="shared" si="7"/>
        <v>0</v>
      </c>
      <c r="AB9" s="55">
        <v>756208</v>
      </c>
      <c r="AC9" s="55">
        <v>756208</v>
      </c>
      <c r="AD9" s="55">
        <v>877319</v>
      </c>
      <c r="AE9" s="54"/>
      <c r="AF9" s="55"/>
      <c r="AG9" s="65">
        <v>1704002</v>
      </c>
      <c r="AH9" s="215">
        <f t="shared" si="8"/>
        <v>2044802.4000000001</v>
      </c>
      <c r="AJ9" s="55"/>
      <c r="AK9" s="69">
        <f t="shared" si="9"/>
        <v>0</v>
      </c>
      <c r="AL9" s="54"/>
      <c r="AM9" s="347">
        <v>1704002</v>
      </c>
      <c r="AN9" s="54"/>
      <c r="AO9" s="259"/>
      <c r="AR9" s="54"/>
      <c r="AS9" s="54"/>
      <c r="AT9" s="65"/>
      <c r="AW9" s="69">
        <f t="shared" si="10"/>
        <v>0</v>
      </c>
      <c r="AX9" s="65"/>
      <c r="AY9" s="69">
        <f t="shared" si="11"/>
        <v>0</v>
      </c>
      <c r="AZ9" s="55">
        <f t="shared" si="0"/>
        <v>0</v>
      </c>
      <c r="BA9" s="69">
        <f t="shared" si="1"/>
        <v>0</v>
      </c>
      <c r="BB9" s="501"/>
      <c r="BE9" s="501"/>
      <c r="BF9" s="221"/>
      <c r="BG9" s="358"/>
      <c r="BH9" s="223"/>
      <c r="BI9" s="55">
        <v>3914010</v>
      </c>
      <c r="BJ9" s="55">
        <v>3914010</v>
      </c>
      <c r="BK9" s="65">
        <v>3914010</v>
      </c>
      <c r="BL9" s="69">
        <f t="shared" si="12"/>
        <v>4696812</v>
      </c>
      <c r="BM9" s="69">
        <v>0</v>
      </c>
      <c r="BN9" s="69"/>
      <c r="BO9" s="576"/>
      <c r="BP9" s="576"/>
      <c r="BQ9" s="54"/>
      <c r="BR9" s="55"/>
      <c r="BS9" s="55"/>
      <c r="BT9" s="223"/>
      <c r="BU9" s="223"/>
      <c r="BV9" s="347"/>
    </row>
    <row r="10" spans="1:74" x14ac:dyDescent="0.25">
      <c r="A10" s="54" t="s">
        <v>13</v>
      </c>
      <c r="B10" s="446" t="s">
        <v>181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>
        <f t="shared" si="2"/>
        <v>0</v>
      </c>
      <c r="J10" s="55">
        <v>0</v>
      </c>
      <c r="K10" s="55">
        <v>0</v>
      </c>
      <c r="L10" s="55">
        <v>0</v>
      </c>
      <c r="M10" s="55">
        <f t="shared" si="3"/>
        <v>0</v>
      </c>
      <c r="N10" s="54"/>
      <c r="O10" s="55"/>
      <c r="P10" s="55"/>
      <c r="Q10" s="55"/>
      <c r="R10" s="55"/>
      <c r="S10" s="55"/>
      <c r="T10" s="55"/>
      <c r="U10" s="55"/>
      <c r="V10" s="69">
        <f t="shared" si="4"/>
        <v>0</v>
      </c>
      <c r="W10" s="69">
        <f t="shared" si="5"/>
        <v>0</v>
      </c>
      <c r="X10" s="122"/>
      <c r="Y10" s="54"/>
      <c r="Z10" s="207" t="e">
        <f t="shared" si="6"/>
        <v>#DIV/0!</v>
      </c>
      <c r="AA10" s="69">
        <f t="shared" si="7"/>
        <v>0</v>
      </c>
      <c r="AB10" s="55"/>
      <c r="AC10" s="55"/>
      <c r="AD10" s="55"/>
      <c r="AE10" s="54"/>
      <c r="AF10" s="55"/>
      <c r="AG10" s="65"/>
      <c r="AH10" s="215">
        <f t="shared" si="8"/>
        <v>0</v>
      </c>
      <c r="AJ10" s="55"/>
      <c r="AK10" s="69">
        <f t="shared" si="9"/>
        <v>0</v>
      </c>
      <c r="AL10" s="54"/>
      <c r="AM10" s="347"/>
      <c r="AN10" s="54"/>
      <c r="AO10" s="259"/>
      <c r="AR10" s="54"/>
      <c r="AS10" s="54"/>
      <c r="AT10" s="65"/>
      <c r="AW10" s="69">
        <f t="shared" si="10"/>
        <v>0</v>
      </c>
      <c r="AX10" s="65"/>
      <c r="AY10" s="69">
        <f t="shared" si="11"/>
        <v>0</v>
      </c>
      <c r="AZ10" s="55">
        <f t="shared" si="0"/>
        <v>0</v>
      </c>
      <c r="BA10" s="69">
        <f t="shared" si="1"/>
        <v>0</v>
      </c>
      <c r="BB10" s="501"/>
      <c r="BE10" s="501"/>
      <c r="BF10" s="221"/>
      <c r="BG10" s="358"/>
      <c r="BH10" s="223"/>
      <c r="BI10" s="55"/>
      <c r="BJ10" s="55"/>
      <c r="BK10" s="65"/>
      <c r="BL10" s="69">
        <f t="shared" si="12"/>
        <v>0</v>
      </c>
      <c r="BM10" s="69">
        <f t="shared" si="12"/>
        <v>0</v>
      </c>
      <c r="BN10" s="69"/>
      <c r="BO10" s="683"/>
      <c r="BP10" s="683"/>
      <c r="BQ10" s="54"/>
      <c r="BR10" s="55"/>
      <c r="BS10" s="55"/>
      <c r="BT10" s="223"/>
      <c r="BU10" s="223"/>
      <c r="BV10" s="347"/>
    </row>
    <row r="11" spans="1:74" x14ac:dyDescent="0.25">
      <c r="A11" s="54" t="s">
        <v>440</v>
      </c>
      <c r="B11" s="446" t="s">
        <v>441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4"/>
      <c r="O11" s="55"/>
      <c r="P11" s="55"/>
      <c r="Q11" s="55"/>
      <c r="R11" s="55"/>
      <c r="S11" s="55"/>
      <c r="T11" s="55"/>
      <c r="U11" s="55"/>
      <c r="V11" s="69"/>
      <c r="W11" s="69"/>
      <c r="X11" s="122"/>
      <c r="Y11" s="54"/>
      <c r="Z11" s="207"/>
      <c r="AA11" s="69"/>
      <c r="AB11" s="55"/>
      <c r="AC11" s="55"/>
      <c r="AD11" s="55"/>
      <c r="AE11" s="54"/>
      <c r="AF11" s="55"/>
      <c r="AG11" s="65"/>
      <c r="AH11" s="215">
        <f t="shared" si="8"/>
        <v>0</v>
      </c>
      <c r="AJ11" s="55"/>
      <c r="AK11" s="69">
        <f t="shared" si="9"/>
        <v>0</v>
      </c>
      <c r="AL11" s="54"/>
      <c r="AM11" s="347"/>
      <c r="AN11" s="54"/>
      <c r="AO11" s="259"/>
      <c r="AR11" s="54"/>
      <c r="AS11" s="54"/>
      <c r="AT11" s="65"/>
      <c r="AW11" s="69">
        <f t="shared" si="10"/>
        <v>0</v>
      </c>
      <c r="AX11" s="65"/>
      <c r="AY11" s="69">
        <f t="shared" si="11"/>
        <v>0</v>
      </c>
      <c r="AZ11" s="55">
        <f t="shared" si="0"/>
        <v>0</v>
      </c>
      <c r="BA11" s="69">
        <f t="shared" si="1"/>
        <v>0</v>
      </c>
      <c r="BB11" s="501"/>
      <c r="BE11" s="501"/>
      <c r="BF11" s="221"/>
      <c r="BG11" s="358"/>
      <c r="BH11" s="223"/>
      <c r="BI11" s="55"/>
      <c r="BJ11" s="55"/>
      <c r="BK11" s="65"/>
      <c r="BL11" s="69">
        <f t="shared" si="12"/>
        <v>0</v>
      </c>
      <c r="BM11" s="69">
        <f t="shared" si="12"/>
        <v>0</v>
      </c>
      <c r="BN11" s="69"/>
      <c r="BO11" s="576"/>
      <c r="BP11" s="576"/>
      <c r="BQ11" s="54"/>
      <c r="BR11" s="55"/>
      <c r="BS11" s="55"/>
      <c r="BT11" s="223"/>
      <c r="BU11" s="223"/>
      <c r="BV11" s="347"/>
    </row>
    <row r="12" spans="1:74" x14ac:dyDescent="0.25">
      <c r="A12" s="54" t="s">
        <v>14</v>
      </c>
      <c r="B12" s="446" t="s">
        <v>182</v>
      </c>
      <c r="C12" s="55">
        <v>0</v>
      </c>
      <c r="D12" s="55">
        <v>0</v>
      </c>
      <c r="E12" s="55">
        <v>0</v>
      </c>
      <c r="F12" s="55">
        <v>0</v>
      </c>
      <c r="G12" s="55"/>
      <c r="H12" s="55"/>
      <c r="I12" s="55">
        <f t="shared" si="2"/>
        <v>0</v>
      </c>
      <c r="J12" s="55">
        <v>0</v>
      </c>
      <c r="K12" s="55">
        <v>0</v>
      </c>
      <c r="L12" s="55">
        <v>0</v>
      </c>
      <c r="M12" s="55">
        <f t="shared" si="3"/>
        <v>0</v>
      </c>
      <c r="N12" s="54"/>
      <c r="O12" s="55"/>
      <c r="P12" s="55"/>
      <c r="Q12" s="55"/>
      <c r="R12" s="55"/>
      <c r="S12" s="55"/>
      <c r="T12" s="55"/>
      <c r="U12" s="55"/>
      <c r="V12" s="69">
        <f t="shared" si="4"/>
        <v>0</v>
      </c>
      <c r="W12" s="69">
        <f t="shared" si="5"/>
        <v>0</v>
      </c>
      <c r="X12" s="122"/>
      <c r="Y12" s="54"/>
      <c r="Z12" s="207" t="e">
        <f t="shared" si="6"/>
        <v>#DIV/0!</v>
      </c>
      <c r="AA12" s="69">
        <f t="shared" si="7"/>
        <v>0</v>
      </c>
      <c r="AB12" s="55"/>
      <c r="AC12" s="55"/>
      <c r="AD12" s="55"/>
      <c r="AE12" s="54"/>
      <c r="AF12" s="55"/>
      <c r="AG12" s="65"/>
      <c r="AH12" s="215">
        <f t="shared" si="8"/>
        <v>0</v>
      </c>
      <c r="AJ12" s="55"/>
      <c r="AK12" s="69">
        <f t="shared" si="9"/>
        <v>0</v>
      </c>
      <c r="AL12" s="54"/>
      <c r="AM12" s="347"/>
      <c r="AN12" s="347"/>
      <c r="AO12" s="353"/>
      <c r="AR12" s="54"/>
      <c r="AS12" s="54"/>
      <c r="AT12" s="65"/>
      <c r="AW12" s="69">
        <f t="shared" si="10"/>
        <v>0</v>
      </c>
      <c r="AX12" s="65"/>
      <c r="AY12" s="69">
        <f t="shared" si="11"/>
        <v>0</v>
      </c>
      <c r="AZ12" s="55">
        <f t="shared" si="0"/>
        <v>0</v>
      </c>
      <c r="BA12" s="69">
        <f t="shared" si="1"/>
        <v>0</v>
      </c>
      <c r="BB12" s="501"/>
      <c r="BE12" s="501"/>
      <c r="BF12" s="221"/>
      <c r="BG12" s="358"/>
      <c r="BH12" s="223"/>
      <c r="BI12" s="55"/>
      <c r="BJ12" s="55"/>
      <c r="BK12" s="65"/>
      <c r="BL12" s="69">
        <f t="shared" si="12"/>
        <v>0</v>
      </c>
      <c r="BM12" s="69">
        <f t="shared" si="12"/>
        <v>0</v>
      </c>
      <c r="BN12" s="69"/>
      <c r="BO12" s="576"/>
      <c r="BP12" s="576"/>
      <c r="BQ12" s="210"/>
      <c r="BR12" s="55"/>
      <c r="BS12" s="55"/>
      <c r="BT12" s="223"/>
      <c r="BU12" s="223"/>
      <c r="BV12" s="347"/>
    </row>
    <row r="13" spans="1:74" x14ac:dyDescent="0.25">
      <c r="A13" s="54" t="s">
        <v>15</v>
      </c>
      <c r="B13" s="446" t="s">
        <v>183</v>
      </c>
      <c r="C13" s="55">
        <v>0</v>
      </c>
      <c r="D13" s="55">
        <v>0</v>
      </c>
      <c r="E13" s="55">
        <v>0</v>
      </c>
      <c r="F13" s="55">
        <v>0</v>
      </c>
      <c r="G13" s="55"/>
      <c r="H13" s="55"/>
      <c r="I13" s="55">
        <f t="shared" si="2"/>
        <v>0</v>
      </c>
      <c r="J13" s="55">
        <v>0</v>
      </c>
      <c r="K13" s="55">
        <v>0</v>
      </c>
      <c r="L13" s="55">
        <v>0</v>
      </c>
      <c r="M13" s="55">
        <f t="shared" si="3"/>
        <v>0</v>
      </c>
      <c r="N13" s="54"/>
      <c r="O13" s="55"/>
      <c r="P13" s="55"/>
      <c r="Q13" s="55"/>
      <c r="R13" s="55"/>
      <c r="S13" s="55"/>
      <c r="T13" s="55"/>
      <c r="U13" s="55"/>
      <c r="V13" s="69">
        <f t="shared" si="4"/>
        <v>0</v>
      </c>
      <c r="W13" s="69">
        <f t="shared" si="5"/>
        <v>0</v>
      </c>
      <c r="X13" s="122"/>
      <c r="Y13" s="54"/>
      <c r="Z13" s="207" t="e">
        <f t="shared" si="6"/>
        <v>#DIV/0!</v>
      </c>
      <c r="AA13" s="69">
        <f t="shared" si="7"/>
        <v>0</v>
      </c>
      <c r="AB13" s="55"/>
      <c r="AC13" s="55"/>
      <c r="AD13" s="55"/>
      <c r="AE13" s="54"/>
      <c r="AF13" s="55"/>
      <c r="AG13" s="65"/>
      <c r="AH13" s="215">
        <f t="shared" si="8"/>
        <v>0</v>
      </c>
      <c r="AJ13" s="55"/>
      <c r="AK13" s="69">
        <f t="shared" si="9"/>
        <v>0</v>
      </c>
      <c r="AL13" s="54"/>
      <c r="AM13" s="347"/>
      <c r="AN13" s="347"/>
      <c r="AO13" s="353"/>
      <c r="AR13" s="54"/>
      <c r="AS13" s="54"/>
      <c r="AT13" s="65"/>
      <c r="AW13" s="69">
        <f t="shared" si="10"/>
        <v>0</v>
      </c>
      <c r="AX13" s="65"/>
      <c r="AY13" s="69">
        <f t="shared" si="11"/>
        <v>0</v>
      </c>
      <c r="AZ13" s="55">
        <f t="shared" si="0"/>
        <v>0</v>
      </c>
      <c r="BA13" s="69">
        <f t="shared" si="1"/>
        <v>0</v>
      </c>
      <c r="BB13" s="501"/>
      <c r="BE13" s="501"/>
      <c r="BF13" s="221"/>
      <c r="BG13" s="358"/>
      <c r="BH13" s="223"/>
      <c r="BI13" s="55"/>
      <c r="BJ13" s="55"/>
      <c r="BK13" s="65"/>
      <c r="BL13" s="69">
        <f t="shared" si="12"/>
        <v>0</v>
      </c>
      <c r="BM13" s="69">
        <f t="shared" si="12"/>
        <v>0</v>
      </c>
      <c r="BN13" s="69"/>
      <c r="BO13" s="576"/>
      <c r="BP13" s="576"/>
      <c r="BQ13" s="210"/>
      <c r="BR13" s="55"/>
      <c r="BS13" s="55"/>
      <c r="BT13" s="223"/>
      <c r="BU13" s="223"/>
      <c r="BV13" s="347"/>
    </row>
    <row r="14" spans="1:74" x14ac:dyDescent="0.25">
      <c r="A14" s="54" t="s">
        <v>16</v>
      </c>
      <c r="B14" s="446" t="s">
        <v>184</v>
      </c>
      <c r="C14" s="55">
        <v>0</v>
      </c>
      <c r="D14" s="55">
        <v>0</v>
      </c>
      <c r="E14" s="55">
        <v>0</v>
      </c>
      <c r="F14" s="55">
        <v>0</v>
      </c>
      <c r="G14" s="55"/>
      <c r="H14" s="55"/>
      <c r="I14" s="55">
        <f t="shared" si="2"/>
        <v>0</v>
      </c>
      <c r="J14" s="55">
        <v>0</v>
      </c>
      <c r="K14" s="55">
        <v>0</v>
      </c>
      <c r="L14" s="55">
        <v>0</v>
      </c>
      <c r="M14" s="55">
        <f t="shared" si="3"/>
        <v>0</v>
      </c>
      <c r="N14" s="54"/>
      <c r="O14" s="55"/>
      <c r="P14" s="55"/>
      <c r="Q14" s="55"/>
      <c r="R14" s="55"/>
      <c r="S14" s="55"/>
      <c r="T14" s="55"/>
      <c r="U14" s="55"/>
      <c r="V14" s="69">
        <f t="shared" si="4"/>
        <v>0</v>
      </c>
      <c r="W14" s="69">
        <f t="shared" si="5"/>
        <v>0</v>
      </c>
      <c r="X14" s="122"/>
      <c r="Y14" s="54"/>
      <c r="Z14" s="207" t="e">
        <f t="shared" si="6"/>
        <v>#DIV/0!</v>
      </c>
      <c r="AA14" s="69">
        <f t="shared" si="7"/>
        <v>0</v>
      </c>
      <c r="AB14" s="55"/>
      <c r="AC14" s="55"/>
      <c r="AD14" s="55"/>
      <c r="AE14" s="54"/>
      <c r="AF14" s="55"/>
      <c r="AG14" s="65"/>
      <c r="AH14" s="215">
        <f t="shared" si="8"/>
        <v>0</v>
      </c>
      <c r="AJ14" s="55"/>
      <c r="AK14" s="69">
        <f t="shared" si="9"/>
        <v>0</v>
      </c>
      <c r="AL14" s="54"/>
      <c r="AM14" s="347"/>
      <c r="AN14" s="347"/>
      <c r="AO14" s="353"/>
      <c r="AR14" s="54"/>
      <c r="AS14" s="54"/>
      <c r="AT14" s="65"/>
      <c r="AW14" s="69">
        <f t="shared" si="10"/>
        <v>0</v>
      </c>
      <c r="AX14" s="65"/>
      <c r="AY14" s="69">
        <f t="shared" si="11"/>
        <v>0</v>
      </c>
      <c r="AZ14" s="55">
        <f t="shared" si="0"/>
        <v>0</v>
      </c>
      <c r="BA14" s="69">
        <f t="shared" si="1"/>
        <v>0</v>
      </c>
      <c r="BB14" s="501"/>
      <c r="BE14" s="501"/>
      <c r="BF14" s="221"/>
      <c r="BG14" s="358"/>
      <c r="BH14" s="223"/>
      <c r="BI14" s="55"/>
      <c r="BJ14" s="55"/>
      <c r="BK14" s="65"/>
      <c r="BL14" s="69">
        <f t="shared" si="12"/>
        <v>0</v>
      </c>
      <c r="BM14" s="69">
        <f t="shared" si="12"/>
        <v>0</v>
      </c>
      <c r="BN14" s="69"/>
      <c r="BO14" s="576"/>
      <c r="BP14" s="576"/>
      <c r="BQ14" s="65"/>
      <c r="BR14" s="55"/>
      <c r="BS14" s="55"/>
      <c r="BT14" s="223"/>
      <c r="BU14" s="223"/>
      <c r="BV14" s="347"/>
    </row>
    <row r="15" spans="1:74" x14ac:dyDescent="0.25">
      <c r="A15" s="54" t="s">
        <v>17</v>
      </c>
      <c r="B15" s="446" t="s">
        <v>185</v>
      </c>
      <c r="C15" s="55">
        <v>0</v>
      </c>
      <c r="D15" s="55">
        <v>0</v>
      </c>
      <c r="E15" s="55">
        <v>0</v>
      </c>
      <c r="F15" s="55">
        <v>0</v>
      </c>
      <c r="G15" s="55"/>
      <c r="H15" s="55"/>
      <c r="I15" s="55">
        <f t="shared" si="2"/>
        <v>0</v>
      </c>
      <c r="J15" s="55">
        <v>0</v>
      </c>
      <c r="K15" s="55">
        <v>0</v>
      </c>
      <c r="L15" s="55">
        <v>0</v>
      </c>
      <c r="M15" s="55">
        <f t="shared" si="3"/>
        <v>0</v>
      </c>
      <c r="N15" s="54"/>
      <c r="O15" s="55"/>
      <c r="P15" s="55"/>
      <c r="Q15" s="55"/>
      <c r="R15" s="55"/>
      <c r="S15" s="55"/>
      <c r="T15" s="55"/>
      <c r="U15" s="55"/>
      <c r="V15" s="69">
        <f t="shared" si="4"/>
        <v>0</v>
      </c>
      <c r="W15" s="69">
        <f t="shared" si="5"/>
        <v>0</v>
      </c>
      <c r="X15" s="122"/>
      <c r="Y15" s="54"/>
      <c r="Z15" s="207" t="e">
        <f t="shared" si="6"/>
        <v>#DIV/0!</v>
      </c>
      <c r="AA15" s="69">
        <f t="shared" si="7"/>
        <v>0</v>
      </c>
      <c r="AB15" s="55"/>
      <c r="AC15" s="55"/>
      <c r="AD15" s="55"/>
      <c r="AE15" s="54"/>
      <c r="AF15" s="55"/>
      <c r="AG15" s="65"/>
      <c r="AH15" s="215">
        <f t="shared" si="8"/>
        <v>0</v>
      </c>
      <c r="AJ15" s="55"/>
      <c r="AK15" s="69">
        <f t="shared" si="9"/>
        <v>0</v>
      </c>
      <c r="AL15" s="54"/>
      <c r="AM15" s="347"/>
      <c r="AN15" s="347"/>
      <c r="AO15" s="353"/>
      <c r="AR15" s="54"/>
      <c r="AS15" s="54"/>
      <c r="AT15" s="65"/>
      <c r="AW15" s="69">
        <f t="shared" si="10"/>
        <v>0</v>
      </c>
      <c r="AX15" s="65"/>
      <c r="AY15" s="69">
        <f t="shared" si="11"/>
        <v>0</v>
      </c>
      <c r="AZ15" s="55">
        <f t="shared" si="0"/>
        <v>0</v>
      </c>
      <c r="BA15" s="69">
        <f t="shared" si="1"/>
        <v>0</v>
      </c>
      <c r="BB15" s="501"/>
      <c r="BE15" s="501"/>
      <c r="BF15" s="221"/>
      <c r="BG15" s="358"/>
      <c r="BH15" s="223"/>
      <c r="BI15" s="55"/>
      <c r="BJ15" s="55"/>
      <c r="BK15" s="65"/>
      <c r="BL15" s="69">
        <f t="shared" si="12"/>
        <v>0</v>
      </c>
      <c r="BM15" s="69">
        <f t="shared" si="12"/>
        <v>0</v>
      </c>
      <c r="BN15" s="69"/>
      <c r="BO15" s="576"/>
      <c r="BP15" s="576"/>
      <c r="BQ15" s="65"/>
      <c r="BR15" s="55"/>
      <c r="BS15" s="55"/>
      <c r="BT15" s="223"/>
      <c r="BU15" s="223"/>
      <c r="BV15" s="347"/>
    </row>
    <row r="16" spans="1:74" x14ac:dyDescent="0.25">
      <c r="A16" s="54" t="s">
        <v>18</v>
      </c>
      <c r="B16" s="446" t="s">
        <v>186</v>
      </c>
      <c r="C16" s="55">
        <v>10000</v>
      </c>
      <c r="D16" s="55">
        <v>45290</v>
      </c>
      <c r="E16" s="55">
        <v>0</v>
      </c>
      <c r="F16" s="55">
        <v>0</v>
      </c>
      <c r="G16" s="55"/>
      <c r="H16" s="55"/>
      <c r="I16" s="55">
        <f t="shared" si="2"/>
        <v>0</v>
      </c>
      <c r="J16" s="55">
        <v>0</v>
      </c>
      <c r="K16" s="55">
        <v>0</v>
      </c>
      <c r="L16" s="55">
        <v>0</v>
      </c>
      <c r="M16" s="55">
        <f t="shared" si="3"/>
        <v>0</v>
      </c>
      <c r="N16" s="54"/>
      <c r="O16" s="55"/>
      <c r="P16" s="55"/>
      <c r="Q16" s="55"/>
      <c r="R16" s="55"/>
      <c r="S16" s="55"/>
      <c r="T16" s="55"/>
      <c r="U16" s="55"/>
      <c r="V16" s="69">
        <f t="shared" si="4"/>
        <v>0</v>
      </c>
      <c r="W16" s="69">
        <f t="shared" si="5"/>
        <v>0</v>
      </c>
      <c r="X16" s="122"/>
      <c r="Y16" s="54"/>
      <c r="Z16" s="207" t="e">
        <f t="shared" si="6"/>
        <v>#DIV/0!</v>
      </c>
      <c r="AA16" s="69">
        <f t="shared" si="7"/>
        <v>0</v>
      </c>
      <c r="AB16" s="55"/>
      <c r="AC16" s="55"/>
      <c r="AD16" s="55"/>
      <c r="AE16" s="54"/>
      <c r="AF16" s="55"/>
      <c r="AG16" s="65"/>
      <c r="AH16" s="215">
        <f t="shared" si="8"/>
        <v>0</v>
      </c>
      <c r="AJ16" s="55"/>
      <c r="AK16" s="69">
        <f t="shared" si="9"/>
        <v>0</v>
      </c>
      <c r="AL16" s="54"/>
      <c r="AM16" s="347"/>
      <c r="AN16" s="347"/>
      <c r="AO16" s="353"/>
      <c r="AR16" s="54"/>
      <c r="AS16" s="54"/>
      <c r="AT16" s="65"/>
      <c r="AW16" s="69">
        <f t="shared" si="10"/>
        <v>0</v>
      </c>
      <c r="AX16" s="65"/>
      <c r="AY16" s="69">
        <f t="shared" si="11"/>
        <v>0</v>
      </c>
      <c r="AZ16" s="55">
        <f t="shared" si="0"/>
        <v>0</v>
      </c>
      <c r="BA16" s="69">
        <f t="shared" si="1"/>
        <v>0</v>
      </c>
      <c r="BB16" s="501"/>
      <c r="BE16" s="501"/>
      <c r="BF16" s="221"/>
      <c r="BG16" s="358"/>
      <c r="BH16" s="223"/>
      <c r="BI16" s="55"/>
      <c r="BJ16" s="55"/>
      <c r="BK16" s="65"/>
      <c r="BL16" s="69">
        <f t="shared" si="12"/>
        <v>0</v>
      </c>
      <c r="BM16" s="69">
        <f t="shared" si="12"/>
        <v>0</v>
      </c>
      <c r="BN16" s="69"/>
      <c r="BO16" s="576"/>
      <c r="BP16" s="576"/>
      <c r="BQ16" s="65"/>
      <c r="BR16" s="55"/>
      <c r="BS16" s="55"/>
      <c r="BT16" s="223"/>
      <c r="BU16" s="223"/>
      <c r="BV16" s="347"/>
    </row>
    <row r="17" spans="1:74" x14ac:dyDescent="0.25">
      <c r="A17" s="54" t="s">
        <v>19</v>
      </c>
      <c r="B17" s="446" t="s">
        <v>187</v>
      </c>
      <c r="C17" s="55">
        <v>0</v>
      </c>
      <c r="D17" s="55">
        <v>0</v>
      </c>
      <c r="E17" s="55">
        <v>0</v>
      </c>
      <c r="F17" s="55">
        <v>2900</v>
      </c>
      <c r="G17" s="55"/>
      <c r="H17" s="55">
        <v>2900</v>
      </c>
      <c r="I17" s="55">
        <f t="shared" si="2"/>
        <v>3163.6363636363635</v>
      </c>
      <c r="J17" s="55">
        <v>0</v>
      </c>
      <c r="K17" s="55">
        <v>0</v>
      </c>
      <c r="L17" s="55">
        <v>0</v>
      </c>
      <c r="M17" s="55">
        <f t="shared" si="3"/>
        <v>0</v>
      </c>
      <c r="N17" s="54"/>
      <c r="O17" s="55"/>
      <c r="P17" s="55">
        <v>129090</v>
      </c>
      <c r="Q17" s="55">
        <v>146990</v>
      </c>
      <c r="R17" s="55"/>
      <c r="S17" s="55"/>
      <c r="T17" s="55">
        <v>146990</v>
      </c>
      <c r="U17" s="55"/>
      <c r="V17" s="69">
        <f t="shared" si="4"/>
        <v>0</v>
      </c>
      <c r="W17" s="69">
        <f t="shared" si="5"/>
        <v>0</v>
      </c>
      <c r="X17" s="122"/>
      <c r="Y17" s="54"/>
      <c r="Z17" s="207">
        <f t="shared" si="6"/>
        <v>0</v>
      </c>
      <c r="AA17" s="69">
        <f t="shared" si="7"/>
        <v>0</v>
      </c>
      <c r="AB17" s="55"/>
      <c r="AC17" s="55"/>
      <c r="AD17" s="55"/>
      <c r="AE17" s="54"/>
      <c r="AF17" s="55"/>
      <c r="AG17" s="65"/>
      <c r="AH17" s="215">
        <f t="shared" si="8"/>
        <v>0</v>
      </c>
      <c r="AJ17" s="55"/>
      <c r="AK17" s="69">
        <f t="shared" si="9"/>
        <v>0</v>
      </c>
      <c r="AL17" s="54"/>
      <c r="AM17" s="347"/>
      <c r="AN17" s="347"/>
      <c r="AO17" s="353"/>
      <c r="AR17" s="54"/>
      <c r="AS17" s="54"/>
      <c r="AT17" s="65"/>
      <c r="AW17" s="69">
        <f t="shared" si="10"/>
        <v>0</v>
      </c>
      <c r="AX17" s="381"/>
      <c r="AY17" s="69">
        <f t="shared" si="11"/>
        <v>0</v>
      </c>
      <c r="AZ17" s="55">
        <f t="shared" si="0"/>
        <v>0</v>
      </c>
      <c r="BA17" s="69">
        <f t="shared" si="1"/>
        <v>0</v>
      </c>
      <c r="BB17" s="501"/>
      <c r="BE17" s="501"/>
      <c r="BF17" s="221"/>
      <c r="BG17" s="358"/>
      <c r="BH17" s="223"/>
      <c r="BI17" s="55"/>
      <c r="BJ17" s="55"/>
      <c r="BK17" s="65"/>
      <c r="BL17" s="69">
        <f t="shared" si="12"/>
        <v>0</v>
      </c>
      <c r="BM17" s="69">
        <f t="shared" si="12"/>
        <v>0</v>
      </c>
      <c r="BN17" s="69"/>
      <c r="BO17" s="576"/>
      <c r="BP17" s="576"/>
      <c r="BQ17" s="65"/>
      <c r="BR17" s="55"/>
      <c r="BS17" s="55"/>
      <c r="BT17" s="223"/>
      <c r="BU17" s="223"/>
      <c r="BV17" s="347"/>
    </row>
    <row r="18" spans="1:74" x14ac:dyDescent="0.25">
      <c r="A18" s="54" t="s">
        <v>20</v>
      </c>
      <c r="B18" s="446" t="s">
        <v>188</v>
      </c>
      <c r="C18" s="55">
        <v>0</v>
      </c>
      <c r="D18" s="55">
        <v>0</v>
      </c>
      <c r="E18" s="55">
        <v>0</v>
      </c>
      <c r="F18" s="55">
        <v>22236</v>
      </c>
      <c r="G18" s="55">
        <v>0</v>
      </c>
      <c r="H18" s="55">
        <v>22236</v>
      </c>
      <c r="I18" s="55">
        <f t="shared" si="2"/>
        <v>24257.454545454544</v>
      </c>
      <c r="J18" s="55">
        <v>0</v>
      </c>
      <c r="K18" s="55">
        <v>0</v>
      </c>
      <c r="L18" s="55">
        <v>0</v>
      </c>
      <c r="M18" s="55">
        <f t="shared" si="3"/>
        <v>0</v>
      </c>
      <c r="N18" s="54"/>
      <c r="O18" s="55"/>
      <c r="P18" s="55">
        <v>39730</v>
      </c>
      <c r="Q18" s="55">
        <v>65630</v>
      </c>
      <c r="R18" s="55"/>
      <c r="S18" s="55"/>
      <c r="T18" s="55">
        <v>103596</v>
      </c>
      <c r="U18" s="55">
        <v>100000</v>
      </c>
      <c r="V18" s="69">
        <f t="shared" si="4"/>
        <v>100000</v>
      </c>
      <c r="W18" s="69">
        <f t="shared" si="5"/>
        <v>100000</v>
      </c>
      <c r="X18" s="122"/>
      <c r="Y18" s="54"/>
      <c r="Z18" s="207">
        <f t="shared" si="6"/>
        <v>0.96528823506699102</v>
      </c>
      <c r="AA18" s="69">
        <f t="shared" si="7"/>
        <v>100000</v>
      </c>
      <c r="AB18" s="55">
        <v>6002</v>
      </c>
      <c r="AC18" s="55">
        <v>6002</v>
      </c>
      <c r="AD18" s="55">
        <v>6002</v>
      </c>
      <c r="AE18" s="122">
        <f>AD18/AA18*100</f>
        <v>6.0019999999999998</v>
      </c>
      <c r="AF18" s="223">
        <v>100000</v>
      </c>
      <c r="AG18" s="222">
        <v>6002</v>
      </c>
      <c r="AH18" s="215">
        <f t="shared" si="8"/>
        <v>7202.4000000000005</v>
      </c>
      <c r="AI18" s="216">
        <v>100000</v>
      </c>
      <c r="AJ18" s="55"/>
      <c r="AK18" s="69">
        <f t="shared" si="9"/>
        <v>100000</v>
      </c>
      <c r="AL18" s="54"/>
      <c r="AM18" s="347">
        <v>19197</v>
      </c>
      <c r="AN18" s="347">
        <v>100000</v>
      </c>
      <c r="AO18" s="353">
        <v>60</v>
      </c>
      <c r="AP18" s="55">
        <v>100000</v>
      </c>
      <c r="AQ18" s="55">
        <v>76643</v>
      </c>
      <c r="AR18" s="55">
        <v>76643</v>
      </c>
      <c r="AS18" s="55">
        <v>76643</v>
      </c>
      <c r="AT18" s="55">
        <v>76643</v>
      </c>
      <c r="AU18" s="69">
        <f>AP18-AT18</f>
        <v>23357</v>
      </c>
      <c r="AV18" s="54">
        <f>AU18/AP18*100</f>
        <v>23.356999999999999</v>
      </c>
      <c r="AW18" s="69">
        <v>100000</v>
      </c>
      <c r="AX18" s="69">
        <v>100000</v>
      </c>
      <c r="AY18" s="69">
        <f t="shared" si="11"/>
        <v>100000</v>
      </c>
      <c r="AZ18" s="55">
        <f t="shared" ref="AZ18:AZ36" si="13">AY18</f>
        <v>100000</v>
      </c>
      <c r="BA18" s="69">
        <f t="shared" si="1"/>
        <v>100000</v>
      </c>
      <c r="BB18" s="501">
        <v>100000</v>
      </c>
      <c r="BE18" s="501">
        <v>4600</v>
      </c>
      <c r="BF18" s="221">
        <v>4600</v>
      </c>
      <c r="BG18" s="365">
        <f>BF18/10*12</f>
        <v>5520</v>
      </c>
      <c r="BH18" s="223">
        <f>BB18*1.06</f>
        <v>106000</v>
      </c>
      <c r="BI18" s="55">
        <v>106000</v>
      </c>
      <c r="BJ18" s="55">
        <v>0</v>
      </c>
      <c r="BK18" s="65">
        <v>1</v>
      </c>
      <c r="BL18" s="69"/>
      <c r="BM18" s="69">
        <v>100000</v>
      </c>
      <c r="BN18" s="69">
        <v>100000</v>
      </c>
      <c r="BO18" s="576">
        <v>117857</v>
      </c>
      <c r="BP18" s="576">
        <f>BO18/10*12</f>
        <v>141428.40000000002</v>
      </c>
      <c r="BQ18" s="65">
        <v>150000</v>
      </c>
      <c r="BR18" s="55">
        <v>150000</v>
      </c>
      <c r="BS18" s="55">
        <v>150000</v>
      </c>
      <c r="BT18" s="223">
        <v>150000</v>
      </c>
      <c r="BU18" s="223"/>
      <c r="BV18" s="347"/>
    </row>
    <row r="19" spans="1:74" x14ac:dyDescent="0.25">
      <c r="A19" s="54" t="s">
        <v>21</v>
      </c>
      <c r="B19" s="446" t="s">
        <v>189</v>
      </c>
      <c r="C19" s="55">
        <v>67670</v>
      </c>
      <c r="D19" s="55">
        <v>113251</v>
      </c>
      <c r="E19" s="55">
        <v>67670</v>
      </c>
      <c r="F19" s="55">
        <v>0</v>
      </c>
      <c r="G19" s="55">
        <v>67670</v>
      </c>
      <c r="H19" s="55">
        <v>0</v>
      </c>
      <c r="I19" s="55">
        <f t="shared" si="2"/>
        <v>0</v>
      </c>
      <c r="J19" s="55">
        <v>0</v>
      </c>
      <c r="K19" s="55">
        <v>0</v>
      </c>
      <c r="L19" s="55">
        <v>0</v>
      </c>
      <c r="M19" s="55">
        <f t="shared" si="3"/>
        <v>0</v>
      </c>
      <c r="N19" s="54"/>
      <c r="O19" s="55"/>
      <c r="P19" s="55"/>
      <c r="Q19" s="55"/>
      <c r="R19" s="55"/>
      <c r="S19" s="55"/>
      <c r="T19" s="55"/>
      <c r="U19" s="55"/>
      <c r="V19" s="69">
        <f t="shared" si="4"/>
        <v>0</v>
      </c>
      <c r="W19" s="69">
        <f t="shared" si="5"/>
        <v>0</v>
      </c>
      <c r="X19" s="122"/>
      <c r="Y19" s="54"/>
      <c r="Z19" s="207" t="e">
        <f t="shared" si="6"/>
        <v>#DIV/0!</v>
      </c>
      <c r="AA19" s="69">
        <f t="shared" si="7"/>
        <v>0</v>
      </c>
      <c r="AB19" s="55"/>
      <c r="AC19" s="55"/>
      <c r="AD19" s="55"/>
      <c r="AE19" s="54"/>
      <c r="AF19" s="55"/>
      <c r="AG19" s="65"/>
      <c r="AH19" s="215">
        <f t="shared" si="8"/>
        <v>0</v>
      </c>
      <c r="AJ19" s="55"/>
      <c r="AK19" s="69">
        <f t="shared" si="9"/>
        <v>0</v>
      </c>
      <c r="AL19" s="54"/>
      <c r="AM19" s="347"/>
      <c r="AN19" s="347"/>
      <c r="AO19" s="353"/>
      <c r="AR19" s="69">
        <f t="shared" ref="AR19:AR86" si="14">AP19-AQ19</f>
        <v>0</v>
      </c>
      <c r="AS19" s="54"/>
      <c r="AT19" s="65"/>
      <c r="AU19" s="69">
        <f>AP19-AT19</f>
        <v>0</v>
      </c>
      <c r="AW19" s="69">
        <f t="shared" si="10"/>
        <v>0</v>
      </c>
      <c r="AX19" s="381"/>
      <c r="AY19" s="69">
        <f t="shared" si="11"/>
        <v>0</v>
      </c>
      <c r="AZ19" s="55">
        <f t="shared" si="13"/>
        <v>0</v>
      </c>
      <c r="BA19" s="69">
        <f t="shared" si="1"/>
        <v>0</v>
      </c>
      <c r="BB19" s="501"/>
      <c r="BE19" s="501"/>
      <c r="BF19" s="221"/>
      <c r="BG19" s="365">
        <f t="shared" ref="BG19:BG86" si="15">BF19/10*12</f>
        <v>0</v>
      </c>
      <c r="BH19" s="223">
        <f t="shared" ref="BH19:BH36" si="16">BB19*1.06</f>
        <v>0</v>
      </c>
      <c r="BI19" s="55"/>
      <c r="BJ19" s="55"/>
      <c r="BK19" s="65"/>
      <c r="BL19" s="69"/>
      <c r="BM19" s="69"/>
      <c r="BN19" s="69"/>
      <c r="BO19" s="576"/>
      <c r="BP19" s="576"/>
      <c r="BQ19" s="65"/>
      <c r="BR19" s="55"/>
      <c r="BS19" s="55"/>
      <c r="BT19" s="223"/>
      <c r="BU19" s="223"/>
      <c r="BV19" s="347"/>
    </row>
    <row r="20" spans="1:74" x14ac:dyDescent="0.25">
      <c r="A20" s="54" t="s">
        <v>22</v>
      </c>
      <c r="B20" s="58" t="s">
        <v>194</v>
      </c>
      <c r="C20" s="55">
        <v>0</v>
      </c>
      <c r="D20" s="55">
        <v>0</v>
      </c>
      <c r="E20" s="55">
        <v>0</v>
      </c>
      <c r="F20" s="55"/>
      <c r="G20" s="55"/>
      <c r="H20" s="55"/>
      <c r="I20" s="55">
        <f t="shared" si="2"/>
        <v>0</v>
      </c>
      <c r="J20" s="55"/>
      <c r="K20" s="55"/>
      <c r="L20" s="55"/>
      <c r="M20" s="55">
        <f t="shared" si="3"/>
        <v>0</v>
      </c>
      <c r="N20" s="54"/>
      <c r="O20" s="55"/>
      <c r="P20" s="55"/>
      <c r="Q20" s="55"/>
      <c r="R20" s="55"/>
      <c r="S20" s="55"/>
      <c r="T20" s="55"/>
      <c r="U20" s="55"/>
      <c r="V20" s="69">
        <f t="shared" si="4"/>
        <v>0</v>
      </c>
      <c r="W20" s="69">
        <f t="shared" si="5"/>
        <v>0</v>
      </c>
      <c r="X20" s="122"/>
      <c r="Y20" s="54"/>
      <c r="Z20" s="207" t="e">
        <f t="shared" si="6"/>
        <v>#DIV/0!</v>
      </c>
      <c r="AA20" s="69">
        <f t="shared" si="7"/>
        <v>0</v>
      </c>
      <c r="AB20" s="55"/>
      <c r="AC20" s="55"/>
      <c r="AD20" s="55"/>
      <c r="AE20" s="54"/>
      <c r="AF20" s="55"/>
      <c r="AG20" s="65"/>
      <c r="AH20" s="215">
        <f t="shared" si="8"/>
        <v>0</v>
      </c>
      <c r="AJ20" s="55"/>
      <c r="AK20" s="69">
        <f t="shared" si="9"/>
        <v>0</v>
      </c>
      <c r="AL20" s="54"/>
      <c r="AM20" s="347"/>
      <c r="AN20" s="347"/>
      <c r="AO20" s="353"/>
      <c r="AR20" s="69">
        <f t="shared" si="14"/>
        <v>0</v>
      </c>
      <c r="AS20" s="54"/>
      <c r="AT20" s="65"/>
      <c r="AU20" s="69">
        <f>AP20-AT20</f>
        <v>0</v>
      </c>
      <c r="AW20" s="69">
        <f t="shared" si="10"/>
        <v>0</v>
      </c>
      <c r="AX20" s="381"/>
      <c r="AY20" s="69">
        <f t="shared" si="11"/>
        <v>0</v>
      </c>
      <c r="AZ20" s="55">
        <f t="shared" si="13"/>
        <v>0</v>
      </c>
      <c r="BA20" s="69">
        <f t="shared" si="1"/>
        <v>0</v>
      </c>
      <c r="BB20" s="501"/>
      <c r="BE20" s="501"/>
      <c r="BF20" s="221"/>
      <c r="BG20" s="365">
        <f t="shared" si="15"/>
        <v>0</v>
      </c>
      <c r="BH20" s="223">
        <f t="shared" si="16"/>
        <v>0</v>
      </c>
      <c r="BI20" s="55"/>
      <c r="BJ20" s="55"/>
      <c r="BK20" s="65"/>
      <c r="BL20" s="69"/>
      <c r="BM20" s="69"/>
      <c r="BN20" s="69"/>
      <c r="BO20" s="576"/>
      <c r="BP20" s="576"/>
      <c r="BQ20" s="65"/>
      <c r="BR20" s="55"/>
      <c r="BS20" s="55"/>
      <c r="BT20" s="223"/>
      <c r="BU20" s="223"/>
      <c r="BV20" s="347"/>
    </row>
    <row r="21" spans="1:74" x14ac:dyDescent="0.25">
      <c r="A21" s="54" t="s">
        <v>245</v>
      </c>
      <c r="B21" s="58" t="s">
        <v>246</v>
      </c>
      <c r="C21" s="55"/>
      <c r="D21" s="55"/>
      <c r="E21" s="55"/>
      <c r="F21" s="55"/>
      <c r="G21" s="55"/>
      <c r="H21" s="55"/>
      <c r="I21" s="55">
        <f t="shared" si="2"/>
        <v>0</v>
      </c>
      <c r="J21" s="55"/>
      <c r="K21" s="55"/>
      <c r="L21" s="55"/>
      <c r="M21" s="55">
        <f t="shared" si="3"/>
        <v>0</v>
      </c>
      <c r="N21" s="54"/>
      <c r="O21" s="55"/>
      <c r="P21" s="55"/>
      <c r="Q21" s="55"/>
      <c r="R21" s="55"/>
      <c r="S21" s="55"/>
      <c r="T21" s="55"/>
      <c r="U21" s="55"/>
      <c r="V21" s="69">
        <f t="shared" si="4"/>
        <v>0</v>
      </c>
      <c r="W21" s="69">
        <f t="shared" si="5"/>
        <v>0</v>
      </c>
      <c r="X21" s="122"/>
      <c r="Y21" s="54"/>
      <c r="Z21" s="207" t="e">
        <f t="shared" si="6"/>
        <v>#DIV/0!</v>
      </c>
      <c r="AA21" s="69">
        <f t="shared" si="7"/>
        <v>0</v>
      </c>
      <c r="AB21" s="55"/>
      <c r="AC21" s="55"/>
      <c r="AD21" s="55"/>
      <c r="AE21" s="54"/>
      <c r="AF21" s="55"/>
      <c r="AG21" s="65"/>
      <c r="AH21" s="215">
        <f t="shared" si="8"/>
        <v>0</v>
      </c>
      <c r="AJ21" s="55"/>
      <c r="AK21" s="69">
        <f t="shared" si="9"/>
        <v>0</v>
      </c>
      <c r="AL21" s="54"/>
      <c r="AM21" s="347"/>
      <c r="AN21" s="349"/>
      <c r="AO21" s="354"/>
      <c r="AR21" s="69">
        <f t="shared" si="14"/>
        <v>0</v>
      </c>
      <c r="AS21" s="54"/>
      <c r="AT21" s="65"/>
      <c r="AU21" s="69">
        <f>AP21-AT21</f>
        <v>0</v>
      </c>
      <c r="AW21" s="69">
        <f t="shared" si="10"/>
        <v>0</v>
      </c>
      <c r="AX21" s="381"/>
      <c r="AY21" s="69">
        <f t="shared" si="11"/>
        <v>0</v>
      </c>
      <c r="AZ21" s="55">
        <f t="shared" si="13"/>
        <v>0</v>
      </c>
      <c r="BA21" s="69">
        <f t="shared" si="1"/>
        <v>0</v>
      </c>
      <c r="BB21" s="501"/>
      <c r="BE21" s="501"/>
      <c r="BF21" s="221"/>
      <c r="BG21" s="365">
        <f t="shared" si="15"/>
        <v>0</v>
      </c>
      <c r="BH21" s="223">
        <f t="shared" si="16"/>
        <v>0</v>
      </c>
      <c r="BI21" s="55"/>
      <c r="BJ21" s="55"/>
      <c r="BK21" s="65"/>
      <c r="BL21" s="69"/>
      <c r="BM21" s="69"/>
      <c r="BN21" s="69"/>
      <c r="BO21" s="576"/>
      <c r="BP21" s="576"/>
      <c r="BQ21" s="65"/>
      <c r="BR21" s="55"/>
      <c r="BS21" s="55"/>
      <c r="BT21" s="223"/>
      <c r="BU21" s="223"/>
      <c r="BV21" s="347"/>
    </row>
    <row r="22" spans="1:74" x14ac:dyDescent="0.25">
      <c r="A22" s="54" t="s">
        <v>23</v>
      </c>
      <c r="B22" s="446" t="s">
        <v>190</v>
      </c>
      <c r="C22" s="55">
        <v>18270.900000000001</v>
      </c>
      <c r="D22" s="55">
        <v>28746</v>
      </c>
      <c r="E22" s="55">
        <v>18271</v>
      </c>
      <c r="F22" s="55">
        <v>6517</v>
      </c>
      <c r="G22" s="55">
        <v>18271</v>
      </c>
      <c r="H22" s="55">
        <v>6517</v>
      </c>
      <c r="I22" s="55">
        <f t="shared" si="2"/>
        <v>7109.454545454546</v>
      </c>
      <c r="J22" s="55">
        <v>0</v>
      </c>
      <c r="K22" s="55">
        <v>0</v>
      </c>
      <c r="L22" s="55">
        <v>0</v>
      </c>
      <c r="M22" s="55">
        <f t="shared" si="3"/>
        <v>0</v>
      </c>
      <c r="N22" s="54"/>
      <c r="O22" s="55"/>
      <c r="P22" s="55">
        <v>44772</v>
      </c>
      <c r="Q22" s="55">
        <v>56598</v>
      </c>
      <c r="R22" s="55"/>
      <c r="S22" s="55"/>
      <c r="T22" s="55">
        <v>66848</v>
      </c>
      <c r="U22" s="55"/>
      <c r="V22" s="69">
        <f t="shared" si="4"/>
        <v>0</v>
      </c>
      <c r="W22" s="69">
        <f t="shared" si="5"/>
        <v>0</v>
      </c>
      <c r="X22" s="122"/>
      <c r="Y22" s="54"/>
      <c r="Z22" s="207">
        <f t="shared" si="6"/>
        <v>0</v>
      </c>
      <c r="AA22" s="69">
        <f t="shared" si="7"/>
        <v>0</v>
      </c>
      <c r="AB22" s="55"/>
      <c r="AC22" s="55"/>
      <c r="AD22" s="55"/>
      <c r="AE22" s="54"/>
      <c r="AF22" s="55"/>
      <c r="AG22" s="65"/>
      <c r="AH22" s="215">
        <f t="shared" si="8"/>
        <v>0</v>
      </c>
      <c r="AJ22" s="55"/>
      <c r="AK22" s="69">
        <f t="shared" si="9"/>
        <v>0</v>
      </c>
      <c r="AL22" s="54"/>
      <c r="AM22" s="347"/>
      <c r="AN22" s="349"/>
      <c r="AO22" s="354"/>
      <c r="AP22" s="375"/>
      <c r="AQ22" s="375">
        <v>20677</v>
      </c>
      <c r="AR22" s="375">
        <v>20677</v>
      </c>
      <c r="AS22" s="375">
        <v>20677</v>
      </c>
      <c r="AT22" s="375">
        <v>20677</v>
      </c>
      <c r="AU22" s="69">
        <v>0</v>
      </c>
      <c r="AW22" s="69">
        <f t="shared" si="10"/>
        <v>0</v>
      </c>
      <c r="AX22" s="381"/>
      <c r="AY22" s="69">
        <f t="shared" si="11"/>
        <v>0</v>
      </c>
      <c r="AZ22" s="55">
        <f t="shared" si="13"/>
        <v>0</v>
      </c>
      <c r="BA22" s="69">
        <f t="shared" si="1"/>
        <v>0</v>
      </c>
      <c r="BB22" s="501"/>
      <c r="BE22" s="501"/>
      <c r="BF22" s="221"/>
      <c r="BG22" s="365">
        <f t="shared" si="15"/>
        <v>0</v>
      </c>
      <c r="BH22" s="223">
        <f t="shared" si="16"/>
        <v>0</v>
      </c>
      <c r="BI22" s="55"/>
      <c r="BJ22" s="55"/>
      <c r="BK22" s="65"/>
      <c r="BL22" s="69"/>
      <c r="BM22" s="69"/>
      <c r="BN22" s="69"/>
      <c r="BO22" s="576"/>
      <c r="BP22" s="576"/>
      <c r="BQ22" s="65"/>
      <c r="BR22" s="55"/>
      <c r="BS22" s="55"/>
      <c r="BT22" s="223"/>
      <c r="BU22" s="223"/>
      <c r="BV22" s="347"/>
    </row>
    <row r="23" spans="1:74" x14ac:dyDescent="0.25">
      <c r="A23" s="54" t="s">
        <v>758</v>
      </c>
      <c r="B23" s="446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4"/>
      <c r="O23" s="55"/>
      <c r="P23" s="55"/>
      <c r="Q23" s="55"/>
      <c r="R23" s="55"/>
      <c r="S23" s="55"/>
      <c r="T23" s="55"/>
      <c r="U23" s="55"/>
      <c r="V23" s="69"/>
      <c r="W23" s="69"/>
      <c r="X23" s="122"/>
      <c r="Y23" s="54"/>
      <c r="Z23" s="207"/>
      <c r="AA23" s="69"/>
      <c r="AB23" s="55"/>
      <c r="AC23" s="55"/>
      <c r="AD23" s="55"/>
      <c r="AE23" s="54"/>
      <c r="AF23" s="55"/>
      <c r="AG23" s="65"/>
      <c r="AH23" s="215"/>
      <c r="AJ23" s="55"/>
      <c r="AK23" s="69"/>
      <c r="AL23" s="54"/>
      <c r="AM23" s="347"/>
      <c r="AN23" s="349"/>
      <c r="AO23" s="354"/>
      <c r="AP23" s="375"/>
      <c r="AQ23" s="375"/>
      <c r="AR23" s="375"/>
      <c r="AS23" s="375"/>
      <c r="AT23" s="375"/>
      <c r="AU23" s="69"/>
      <c r="AW23" s="69"/>
      <c r="AX23" s="381"/>
      <c r="AY23" s="69"/>
      <c r="AZ23" s="55"/>
      <c r="BA23" s="69"/>
      <c r="BB23" s="501"/>
      <c r="BE23" s="501"/>
      <c r="BF23" s="221"/>
      <c r="BG23" s="365"/>
      <c r="BH23" s="223"/>
      <c r="BI23" s="55"/>
      <c r="BJ23" s="55"/>
      <c r="BK23" s="65"/>
      <c r="BL23" s="69"/>
      <c r="BM23" s="69"/>
      <c r="BN23" s="69"/>
      <c r="BO23" s="576"/>
      <c r="BP23" s="576"/>
      <c r="BQ23" s="65"/>
      <c r="BR23" s="55"/>
      <c r="BS23" s="55"/>
      <c r="BT23" s="223"/>
      <c r="BU23" s="223"/>
      <c r="BV23" s="347"/>
    </row>
    <row r="24" spans="1:74" x14ac:dyDescent="0.25">
      <c r="A24" s="54" t="s">
        <v>24</v>
      </c>
      <c r="B24" s="58" t="s">
        <v>195</v>
      </c>
      <c r="C24" s="55">
        <v>0</v>
      </c>
      <c r="D24" s="55">
        <v>0</v>
      </c>
      <c r="E24" s="55">
        <v>0</v>
      </c>
      <c r="F24" s="55">
        <v>50000</v>
      </c>
      <c r="G24" s="55">
        <v>0</v>
      </c>
      <c r="H24" s="55">
        <v>52</v>
      </c>
      <c r="I24" s="55">
        <f t="shared" si="2"/>
        <v>56.727272727272727</v>
      </c>
      <c r="J24" s="55">
        <v>100000</v>
      </c>
      <c r="K24" s="55">
        <v>100000</v>
      </c>
      <c r="L24" s="55">
        <v>100000</v>
      </c>
      <c r="M24" s="55">
        <f t="shared" si="3"/>
        <v>176282.05128205128</v>
      </c>
      <c r="N24" s="54"/>
      <c r="O24" s="55">
        <v>100000</v>
      </c>
      <c r="P24" s="55">
        <v>1</v>
      </c>
      <c r="Q24" s="55">
        <v>1</v>
      </c>
      <c r="R24" s="55"/>
      <c r="S24" s="55">
        <v>100000</v>
      </c>
      <c r="T24" s="55"/>
      <c r="U24" s="55"/>
      <c r="V24" s="69">
        <f t="shared" si="4"/>
        <v>0</v>
      </c>
      <c r="W24" s="69">
        <f t="shared" si="5"/>
        <v>0</v>
      </c>
      <c r="X24" s="122"/>
      <c r="Y24" s="54"/>
      <c r="Z24" s="207" t="e">
        <f t="shared" si="6"/>
        <v>#DIV/0!</v>
      </c>
      <c r="AA24" s="69">
        <f t="shared" si="7"/>
        <v>0</v>
      </c>
      <c r="AB24" s="55">
        <v>1</v>
      </c>
      <c r="AC24" s="55">
        <v>1</v>
      </c>
      <c r="AD24" s="55">
        <v>1</v>
      </c>
      <c r="AE24" s="54"/>
      <c r="AF24" s="55"/>
      <c r="AG24" s="65">
        <v>1</v>
      </c>
      <c r="AH24" s="215">
        <f t="shared" si="8"/>
        <v>1.2000000000000002</v>
      </c>
      <c r="AJ24" s="55"/>
      <c r="AK24" s="69">
        <f t="shared" si="9"/>
        <v>0</v>
      </c>
      <c r="AL24" s="54"/>
      <c r="AM24" s="347">
        <v>2</v>
      </c>
      <c r="AN24" s="349"/>
      <c r="AO24" s="354"/>
      <c r="AR24" s="69">
        <f t="shared" si="14"/>
        <v>0</v>
      </c>
      <c r="AS24" s="54"/>
      <c r="AT24" s="65"/>
      <c r="AU24" s="69"/>
      <c r="AW24" s="69">
        <f t="shared" si="10"/>
        <v>0</v>
      </c>
      <c r="AX24" s="381"/>
      <c r="AY24" s="69">
        <f t="shared" si="11"/>
        <v>0</v>
      </c>
      <c r="AZ24" s="55">
        <f t="shared" si="13"/>
        <v>0</v>
      </c>
      <c r="BA24" s="69">
        <f t="shared" si="1"/>
        <v>0</v>
      </c>
      <c r="BB24" s="501"/>
      <c r="BE24" s="501"/>
      <c r="BF24" s="221"/>
      <c r="BG24" s="365">
        <f t="shared" si="15"/>
        <v>0</v>
      </c>
      <c r="BH24" s="223">
        <f t="shared" si="16"/>
        <v>0</v>
      </c>
      <c r="BI24" s="55"/>
      <c r="BJ24" s="55">
        <v>1</v>
      </c>
      <c r="BK24" s="65">
        <v>1</v>
      </c>
      <c r="BL24" s="69"/>
      <c r="BM24" s="69"/>
      <c r="BN24" s="69"/>
      <c r="BO24" s="576"/>
      <c r="BP24" s="576"/>
      <c r="BQ24" s="65"/>
      <c r="BR24" s="55"/>
      <c r="BS24" s="55"/>
      <c r="BT24" s="223"/>
      <c r="BU24" s="223"/>
      <c r="BV24" s="347"/>
    </row>
    <row r="25" spans="1:74" x14ac:dyDescent="0.25">
      <c r="A25" s="54" t="s">
        <v>25</v>
      </c>
      <c r="B25" s="446" t="s">
        <v>191</v>
      </c>
      <c r="C25" s="55">
        <v>0</v>
      </c>
      <c r="D25" s="55">
        <v>0</v>
      </c>
      <c r="E25" s="55">
        <v>0</v>
      </c>
      <c r="F25" s="55">
        <v>0</v>
      </c>
      <c r="G25" s="55"/>
      <c r="H25" s="55"/>
      <c r="I25" s="55">
        <f t="shared" si="2"/>
        <v>0</v>
      </c>
      <c r="J25" s="55">
        <v>0</v>
      </c>
      <c r="K25" s="55">
        <v>0</v>
      </c>
      <c r="L25" s="55">
        <v>0</v>
      </c>
      <c r="M25" s="55">
        <f t="shared" si="3"/>
        <v>0</v>
      </c>
      <c r="N25" s="54"/>
      <c r="O25" s="55"/>
      <c r="P25" s="55"/>
      <c r="Q25" s="55"/>
      <c r="R25" s="55"/>
      <c r="S25" s="55"/>
      <c r="T25" s="55"/>
      <c r="U25" s="55"/>
      <c r="V25" s="69">
        <f t="shared" si="4"/>
        <v>0</v>
      </c>
      <c r="W25" s="69">
        <f t="shared" si="5"/>
        <v>0</v>
      </c>
      <c r="X25" s="122"/>
      <c r="Y25" s="54"/>
      <c r="Z25" s="207" t="e">
        <f t="shared" si="6"/>
        <v>#DIV/0!</v>
      </c>
      <c r="AA25" s="69">
        <f t="shared" si="7"/>
        <v>0</v>
      </c>
      <c r="AB25" s="55"/>
      <c r="AC25" s="55"/>
      <c r="AD25" s="55"/>
      <c r="AE25" s="54"/>
      <c r="AF25" s="55"/>
      <c r="AG25" s="65"/>
      <c r="AH25" s="215">
        <f t="shared" si="8"/>
        <v>0</v>
      </c>
      <c r="AJ25" s="55"/>
      <c r="AK25" s="69">
        <f t="shared" si="9"/>
        <v>0</v>
      </c>
      <c r="AL25" s="54"/>
      <c r="AM25" s="347"/>
      <c r="AN25" s="349"/>
      <c r="AO25" s="354"/>
      <c r="AR25" s="69">
        <f t="shared" si="14"/>
        <v>0</v>
      </c>
      <c r="AS25" s="54"/>
      <c r="AT25" s="65"/>
      <c r="AU25" s="69"/>
      <c r="AW25" s="69">
        <f t="shared" si="10"/>
        <v>0</v>
      </c>
      <c r="AX25" s="381"/>
      <c r="AY25" s="69">
        <f t="shared" si="11"/>
        <v>0</v>
      </c>
      <c r="AZ25" s="55">
        <f t="shared" si="13"/>
        <v>0</v>
      </c>
      <c r="BA25" s="69">
        <f t="shared" si="1"/>
        <v>0</v>
      </c>
      <c r="BB25" s="501"/>
      <c r="BE25" s="501"/>
      <c r="BF25" s="221"/>
      <c r="BG25" s="365">
        <f t="shared" si="15"/>
        <v>0</v>
      </c>
      <c r="BH25" s="223">
        <f t="shared" si="16"/>
        <v>0</v>
      </c>
      <c r="BI25" s="55"/>
      <c r="BJ25" s="55"/>
      <c r="BK25" s="65"/>
      <c r="BL25" s="69">
        <f t="shared" si="12"/>
        <v>0</v>
      </c>
      <c r="BM25" s="69">
        <f t="shared" si="12"/>
        <v>0</v>
      </c>
      <c r="BN25" s="69"/>
      <c r="BO25" s="576"/>
      <c r="BP25" s="576"/>
      <c r="BQ25" s="65"/>
      <c r="BR25" s="55"/>
      <c r="BS25" s="55"/>
      <c r="BT25" s="223"/>
      <c r="BU25" s="223"/>
      <c r="BV25" s="347"/>
    </row>
    <row r="26" spans="1:74" x14ac:dyDescent="0.25">
      <c r="A26" s="54" t="s">
        <v>326</v>
      </c>
      <c r="B26" s="446" t="s">
        <v>327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4"/>
      <c r="O26" s="55"/>
      <c r="P26" s="55"/>
      <c r="Q26" s="55">
        <v>37250</v>
      </c>
      <c r="R26" s="55"/>
      <c r="S26" s="55"/>
      <c r="T26" s="55">
        <v>37250</v>
      </c>
      <c r="U26" s="55"/>
      <c r="V26" s="69">
        <f t="shared" si="4"/>
        <v>0</v>
      </c>
      <c r="W26" s="69">
        <f t="shared" si="5"/>
        <v>0</v>
      </c>
      <c r="X26" s="122"/>
      <c r="Y26" s="54"/>
      <c r="Z26" s="207">
        <f t="shared" si="6"/>
        <v>0</v>
      </c>
      <c r="AA26" s="69">
        <f t="shared" si="7"/>
        <v>0</v>
      </c>
      <c r="AB26" s="55"/>
      <c r="AC26" s="55"/>
      <c r="AD26" s="55"/>
      <c r="AE26" s="54"/>
      <c r="AF26" s="223"/>
      <c r="AG26" s="222">
        <v>13193</v>
      </c>
      <c r="AH26" s="215">
        <f t="shared" si="8"/>
        <v>15831.599999999999</v>
      </c>
      <c r="AJ26" s="55"/>
      <c r="AK26" s="69">
        <f t="shared" si="9"/>
        <v>0</v>
      </c>
      <c r="AL26" s="54"/>
      <c r="AM26" s="347">
        <v>13193</v>
      </c>
      <c r="AN26" s="349"/>
      <c r="AO26" s="354"/>
      <c r="AR26" s="69">
        <f t="shared" si="14"/>
        <v>0</v>
      </c>
      <c r="AS26" s="54"/>
      <c r="AT26" s="65"/>
      <c r="AU26" s="69"/>
      <c r="AW26" s="69">
        <f t="shared" si="10"/>
        <v>0</v>
      </c>
      <c r="AX26" s="381"/>
      <c r="AY26" s="69">
        <f t="shared" si="11"/>
        <v>0</v>
      </c>
      <c r="AZ26" s="55">
        <f t="shared" si="13"/>
        <v>0</v>
      </c>
      <c r="BA26" s="69">
        <f t="shared" si="1"/>
        <v>0</v>
      </c>
      <c r="BB26" s="501"/>
      <c r="BE26" s="501"/>
      <c r="BF26" s="221"/>
      <c r="BG26" s="365">
        <f t="shared" si="15"/>
        <v>0</v>
      </c>
      <c r="BH26" s="223">
        <f t="shared" si="16"/>
        <v>0</v>
      </c>
      <c r="BI26" s="55"/>
      <c r="BJ26" s="55"/>
      <c r="BK26" s="65"/>
      <c r="BL26" s="69">
        <f t="shared" si="12"/>
        <v>0</v>
      </c>
      <c r="BM26" s="69">
        <f t="shared" si="12"/>
        <v>0</v>
      </c>
      <c r="BN26" s="69"/>
      <c r="BO26" s="576"/>
      <c r="BP26" s="576"/>
      <c r="BQ26" s="65"/>
      <c r="BR26" s="55"/>
      <c r="BS26" s="55"/>
      <c r="BT26" s="223"/>
      <c r="BU26" s="223"/>
      <c r="BV26" s="347"/>
    </row>
    <row r="27" spans="1:74" x14ac:dyDescent="0.25">
      <c r="A27" s="54" t="s">
        <v>247</v>
      </c>
      <c r="B27" s="446" t="s">
        <v>248</v>
      </c>
      <c r="C27" s="55"/>
      <c r="D27" s="55"/>
      <c r="E27" s="55"/>
      <c r="F27" s="55"/>
      <c r="G27" s="55"/>
      <c r="H27" s="55"/>
      <c r="I27" s="55">
        <f t="shared" si="2"/>
        <v>0</v>
      </c>
      <c r="J27" s="55"/>
      <c r="K27" s="55"/>
      <c r="L27" s="55"/>
      <c r="M27" s="55">
        <f t="shared" si="3"/>
        <v>0</v>
      </c>
      <c r="N27" s="54"/>
      <c r="O27" s="55"/>
      <c r="P27" s="55"/>
      <c r="Q27" s="55"/>
      <c r="R27" s="55"/>
      <c r="S27" s="55"/>
      <c r="T27" s="55"/>
      <c r="U27" s="55"/>
      <c r="V27" s="69">
        <f t="shared" si="4"/>
        <v>0</v>
      </c>
      <c r="W27" s="69">
        <f t="shared" si="5"/>
        <v>0</v>
      </c>
      <c r="X27" s="122"/>
      <c r="Y27" s="54"/>
      <c r="Z27" s="207" t="e">
        <f t="shared" si="6"/>
        <v>#DIV/0!</v>
      </c>
      <c r="AA27" s="69">
        <f t="shared" si="7"/>
        <v>0</v>
      </c>
      <c r="AB27" s="55"/>
      <c r="AC27" s="55"/>
      <c r="AD27" s="55"/>
      <c r="AE27" s="54"/>
      <c r="AF27" s="55"/>
      <c r="AG27" s="65"/>
      <c r="AH27" s="215">
        <f t="shared" si="8"/>
        <v>0</v>
      </c>
      <c r="AJ27" s="55"/>
      <c r="AK27" s="69">
        <f t="shared" si="9"/>
        <v>0</v>
      </c>
      <c r="AL27" s="54"/>
      <c r="AM27" s="347"/>
      <c r="AN27" s="349"/>
      <c r="AO27" s="354"/>
      <c r="AR27" s="69">
        <f t="shared" si="14"/>
        <v>0</v>
      </c>
      <c r="AS27" s="54"/>
      <c r="AT27" s="65"/>
      <c r="AU27" s="69"/>
      <c r="AW27" s="69">
        <f t="shared" si="10"/>
        <v>0</v>
      </c>
      <c r="AX27" s="381"/>
      <c r="AY27" s="69">
        <f t="shared" si="11"/>
        <v>0</v>
      </c>
      <c r="AZ27" s="55">
        <f t="shared" si="13"/>
        <v>0</v>
      </c>
      <c r="BA27" s="69">
        <f t="shared" si="1"/>
        <v>0</v>
      </c>
      <c r="BB27" s="501"/>
      <c r="BE27" s="501"/>
      <c r="BF27" s="221"/>
      <c r="BG27" s="365">
        <f t="shared" si="15"/>
        <v>0</v>
      </c>
      <c r="BH27" s="223">
        <f t="shared" si="16"/>
        <v>0</v>
      </c>
      <c r="BI27" s="55"/>
      <c r="BJ27" s="55"/>
      <c r="BK27" s="65"/>
      <c r="BL27" s="69">
        <f t="shared" si="12"/>
        <v>0</v>
      </c>
      <c r="BM27" s="69">
        <f t="shared" si="12"/>
        <v>0</v>
      </c>
      <c r="BN27" s="69"/>
      <c r="BO27" s="576"/>
      <c r="BP27" s="576"/>
      <c r="BQ27" s="65"/>
      <c r="BR27" s="55"/>
      <c r="BS27" s="55"/>
      <c r="BT27" s="223"/>
      <c r="BU27" s="223"/>
      <c r="BV27" s="347"/>
    </row>
    <row r="28" spans="1:74" x14ac:dyDescent="0.25">
      <c r="A28" s="54" t="s">
        <v>249</v>
      </c>
      <c r="B28" s="446" t="s">
        <v>250</v>
      </c>
      <c r="C28" s="55"/>
      <c r="D28" s="55"/>
      <c r="E28" s="55"/>
      <c r="F28" s="55"/>
      <c r="G28" s="55"/>
      <c r="H28" s="55"/>
      <c r="I28" s="55">
        <f t="shared" si="2"/>
        <v>0</v>
      </c>
      <c r="J28" s="55"/>
      <c r="K28" s="55"/>
      <c r="L28" s="55"/>
      <c r="M28" s="55">
        <f t="shared" si="3"/>
        <v>0</v>
      </c>
      <c r="N28" s="54"/>
      <c r="O28" s="55"/>
      <c r="P28" s="55"/>
      <c r="Q28" s="55"/>
      <c r="R28" s="55"/>
      <c r="S28" s="55"/>
      <c r="T28" s="55"/>
      <c r="U28" s="55"/>
      <c r="V28" s="69">
        <f t="shared" si="4"/>
        <v>0</v>
      </c>
      <c r="W28" s="69">
        <f t="shared" si="5"/>
        <v>0</v>
      </c>
      <c r="X28" s="122"/>
      <c r="Y28" s="54"/>
      <c r="Z28" s="207" t="e">
        <f t="shared" si="6"/>
        <v>#DIV/0!</v>
      </c>
      <c r="AA28" s="69">
        <f t="shared" si="7"/>
        <v>0</v>
      </c>
      <c r="AB28" s="55"/>
      <c r="AC28" s="55"/>
      <c r="AD28" s="55"/>
      <c r="AE28" s="54"/>
      <c r="AF28" s="55"/>
      <c r="AG28" s="65"/>
      <c r="AH28" s="215">
        <f t="shared" si="8"/>
        <v>0</v>
      </c>
      <c r="AJ28" s="55"/>
      <c r="AK28" s="69">
        <f t="shared" si="9"/>
        <v>0</v>
      </c>
      <c r="AL28" s="54"/>
      <c r="AM28" s="347"/>
      <c r="AN28" s="349"/>
      <c r="AO28" s="354"/>
      <c r="AR28" s="69">
        <f t="shared" si="14"/>
        <v>0</v>
      </c>
      <c r="AS28" s="54"/>
      <c r="AT28" s="65"/>
      <c r="AU28" s="69"/>
      <c r="AW28" s="69">
        <f t="shared" si="10"/>
        <v>0</v>
      </c>
      <c r="AX28" s="381"/>
      <c r="AY28" s="69">
        <f t="shared" si="11"/>
        <v>0</v>
      </c>
      <c r="AZ28" s="55">
        <f t="shared" si="13"/>
        <v>0</v>
      </c>
      <c r="BA28" s="69">
        <f t="shared" si="1"/>
        <v>0</v>
      </c>
      <c r="BB28" s="501"/>
      <c r="BE28" s="501"/>
      <c r="BF28" s="221"/>
      <c r="BG28" s="365">
        <f t="shared" si="15"/>
        <v>0</v>
      </c>
      <c r="BH28" s="223">
        <f t="shared" si="16"/>
        <v>0</v>
      </c>
      <c r="BI28" s="55"/>
      <c r="BJ28" s="55"/>
      <c r="BK28" s="65"/>
      <c r="BL28" s="69">
        <f t="shared" si="12"/>
        <v>0</v>
      </c>
      <c r="BM28" s="69">
        <f t="shared" si="12"/>
        <v>0</v>
      </c>
      <c r="BN28" s="69"/>
      <c r="BO28" s="576"/>
      <c r="BP28" s="576"/>
      <c r="BQ28" s="65"/>
      <c r="BR28" s="55"/>
      <c r="BS28" s="55"/>
      <c r="BT28" s="223"/>
      <c r="BU28" s="223"/>
      <c r="BV28" s="347"/>
    </row>
    <row r="29" spans="1:74" x14ac:dyDescent="0.25">
      <c r="A29" s="54" t="s">
        <v>251</v>
      </c>
      <c r="B29" s="446" t="s">
        <v>252</v>
      </c>
      <c r="C29" s="55"/>
      <c r="D29" s="55"/>
      <c r="E29" s="55"/>
      <c r="F29" s="55"/>
      <c r="G29" s="55"/>
      <c r="H29" s="55"/>
      <c r="I29" s="55">
        <f t="shared" si="2"/>
        <v>0</v>
      </c>
      <c r="J29" s="55"/>
      <c r="K29" s="55"/>
      <c r="L29" s="55"/>
      <c r="M29" s="55">
        <f t="shared" si="3"/>
        <v>0</v>
      </c>
      <c r="N29" s="54"/>
      <c r="O29" s="55"/>
      <c r="P29" s="55"/>
      <c r="Q29" s="55"/>
      <c r="R29" s="55"/>
      <c r="S29" s="55"/>
      <c r="T29" s="55"/>
      <c r="U29" s="55"/>
      <c r="V29" s="69">
        <f t="shared" si="4"/>
        <v>0</v>
      </c>
      <c r="W29" s="69">
        <f t="shared" si="5"/>
        <v>0</v>
      </c>
      <c r="X29" s="122"/>
      <c r="Y29" s="54"/>
      <c r="Z29" s="207" t="e">
        <f t="shared" si="6"/>
        <v>#DIV/0!</v>
      </c>
      <c r="AA29" s="69">
        <f t="shared" si="7"/>
        <v>0</v>
      </c>
      <c r="AB29" s="55"/>
      <c r="AC29" s="55"/>
      <c r="AD29" s="55"/>
      <c r="AE29" s="54"/>
      <c r="AF29" s="55"/>
      <c r="AG29" s="65"/>
      <c r="AH29" s="215">
        <f t="shared" si="8"/>
        <v>0</v>
      </c>
      <c r="AJ29" s="55"/>
      <c r="AK29" s="69">
        <f t="shared" si="9"/>
        <v>0</v>
      </c>
      <c r="AL29" s="54"/>
      <c r="AM29" s="347"/>
      <c r="AN29" s="349"/>
      <c r="AO29" s="354"/>
      <c r="AR29" s="69">
        <f t="shared" si="14"/>
        <v>0</v>
      </c>
      <c r="AS29" s="54"/>
      <c r="AT29" s="65"/>
      <c r="AU29" s="69"/>
      <c r="AW29" s="69">
        <f t="shared" si="10"/>
        <v>0</v>
      </c>
      <c r="AX29" s="381"/>
      <c r="AY29" s="69">
        <f t="shared" si="11"/>
        <v>0</v>
      </c>
      <c r="AZ29" s="55">
        <f t="shared" si="13"/>
        <v>0</v>
      </c>
      <c r="BA29" s="69">
        <f t="shared" si="1"/>
        <v>0</v>
      </c>
      <c r="BB29" s="501"/>
      <c r="BE29" s="501"/>
      <c r="BF29" s="221"/>
      <c r="BG29" s="365">
        <f t="shared" si="15"/>
        <v>0</v>
      </c>
      <c r="BH29" s="223">
        <f t="shared" si="16"/>
        <v>0</v>
      </c>
      <c r="BI29" s="55"/>
      <c r="BJ29" s="55"/>
      <c r="BK29" s="65"/>
      <c r="BL29" s="69">
        <f t="shared" si="12"/>
        <v>0</v>
      </c>
      <c r="BM29" s="69">
        <f t="shared" si="12"/>
        <v>0</v>
      </c>
      <c r="BN29" s="69"/>
      <c r="BO29" s="576"/>
      <c r="BP29" s="576"/>
      <c r="BQ29" s="65"/>
      <c r="BR29" s="55"/>
      <c r="BS29" s="55"/>
      <c r="BT29" s="223"/>
      <c r="BU29" s="223"/>
      <c r="BV29" s="347"/>
    </row>
    <row r="30" spans="1:74" x14ac:dyDescent="0.25">
      <c r="A30" s="54" t="s">
        <v>235</v>
      </c>
      <c r="B30" s="446" t="s">
        <v>236</v>
      </c>
      <c r="C30" s="55"/>
      <c r="D30" s="55"/>
      <c r="E30" s="55"/>
      <c r="F30" s="55"/>
      <c r="G30" s="55"/>
      <c r="H30" s="55"/>
      <c r="I30" s="55">
        <f t="shared" si="2"/>
        <v>0</v>
      </c>
      <c r="J30" s="55"/>
      <c r="K30" s="55"/>
      <c r="L30" s="55"/>
      <c r="M30" s="55">
        <f t="shared" si="3"/>
        <v>0</v>
      </c>
      <c r="N30" s="54"/>
      <c r="O30" s="55"/>
      <c r="P30" s="55"/>
      <c r="Q30" s="55"/>
      <c r="R30" s="55"/>
      <c r="S30" s="55"/>
      <c r="T30" s="55"/>
      <c r="U30" s="55"/>
      <c r="V30" s="69">
        <f t="shared" si="4"/>
        <v>0</v>
      </c>
      <c r="W30" s="69">
        <f t="shared" si="5"/>
        <v>0</v>
      </c>
      <c r="X30" s="122"/>
      <c r="Y30" s="54"/>
      <c r="Z30" s="207" t="e">
        <f t="shared" si="6"/>
        <v>#DIV/0!</v>
      </c>
      <c r="AA30" s="69">
        <f t="shared" si="7"/>
        <v>0</v>
      </c>
      <c r="AB30" s="55"/>
      <c r="AC30" s="55"/>
      <c r="AD30" s="55"/>
      <c r="AE30" s="54"/>
      <c r="AF30" s="55"/>
      <c r="AG30" s="65"/>
      <c r="AH30" s="215">
        <f t="shared" si="8"/>
        <v>0</v>
      </c>
      <c r="AJ30" s="55"/>
      <c r="AK30" s="69">
        <f t="shared" si="9"/>
        <v>0</v>
      </c>
      <c r="AL30" s="54"/>
      <c r="AM30" s="347"/>
      <c r="AN30" s="349"/>
      <c r="AO30" s="354"/>
      <c r="AR30" s="69">
        <f t="shared" si="14"/>
        <v>0</v>
      </c>
      <c r="AS30" s="54"/>
      <c r="AT30" s="382"/>
      <c r="AU30" s="69"/>
      <c r="AW30" s="69">
        <f t="shared" si="10"/>
        <v>0</v>
      </c>
      <c r="AX30" s="381"/>
      <c r="AY30" s="69">
        <f t="shared" si="11"/>
        <v>0</v>
      </c>
      <c r="AZ30" s="55">
        <f t="shared" si="13"/>
        <v>0</v>
      </c>
      <c r="BA30" s="69">
        <f t="shared" si="1"/>
        <v>0</v>
      </c>
      <c r="BB30" s="501"/>
      <c r="BE30" s="501"/>
      <c r="BF30" s="221"/>
      <c r="BG30" s="365">
        <f t="shared" si="15"/>
        <v>0</v>
      </c>
      <c r="BH30" s="223">
        <f t="shared" si="16"/>
        <v>0</v>
      </c>
      <c r="BI30" s="55"/>
      <c r="BJ30" s="55"/>
      <c r="BK30" s="65"/>
      <c r="BL30" s="69">
        <f t="shared" si="12"/>
        <v>0</v>
      </c>
      <c r="BM30" s="69">
        <f t="shared" si="12"/>
        <v>0</v>
      </c>
      <c r="BN30" s="69"/>
      <c r="BO30" s="576"/>
      <c r="BP30" s="576"/>
      <c r="BQ30" s="65"/>
      <c r="BR30" s="55"/>
      <c r="BS30" s="55"/>
      <c r="BT30" s="223"/>
      <c r="BU30" s="223"/>
      <c r="BV30" s="347"/>
    </row>
    <row r="31" spans="1:74" x14ac:dyDescent="0.25">
      <c r="A31" s="54" t="s">
        <v>26</v>
      </c>
      <c r="B31" s="58" t="s">
        <v>196</v>
      </c>
      <c r="C31" s="55">
        <v>150000</v>
      </c>
      <c r="D31" s="55">
        <v>87500</v>
      </c>
      <c r="E31" s="55">
        <v>150000</v>
      </c>
      <c r="F31" s="55"/>
      <c r="G31" s="55"/>
      <c r="H31" s="55"/>
      <c r="I31" s="55">
        <f t="shared" si="2"/>
        <v>0</v>
      </c>
      <c r="J31" s="55"/>
      <c r="K31" s="55"/>
      <c r="L31" s="55"/>
      <c r="M31" s="55">
        <f t="shared" si="3"/>
        <v>0</v>
      </c>
      <c r="N31" s="54"/>
      <c r="O31" s="55"/>
      <c r="P31" s="55"/>
      <c r="Q31" s="55"/>
      <c r="R31" s="55"/>
      <c r="S31" s="55"/>
      <c r="T31" s="55"/>
      <c r="U31" s="55"/>
      <c r="V31" s="69">
        <f t="shared" si="4"/>
        <v>0</v>
      </c>
      <c r="W31" s="69">
        <f t="shared" si="5"/>
        <v>0</v>
      </c>
      <c r="X31" s="122"/>
      <c r="Y31" s="54"/>
      <c r="Z31" s="207" t="e">
        <f t="shared" si="6"/>
        <v>#DIV/0!</v>
      </c>
      <c r="AA31" s="69">
        <f t="shared" si="7"/>
        <v>0</v>
      </c>
      <c r="AB31" s="55"/>
      <c r="AC31" s="55"/>
      <c r="AD31" s="55"/>
      <c r="AE31" s="54"/>
      <c r="AF31" s="55"/>
      <c r="AG31" s="65"/>
      <c r="AH31" s="215">
        <f t="shared" si="8"/>
        <v>0</v>
      </c>
      <c r="AJ31" s="55"/>
      <c r="AK31" s="69">
        <f t="shared" si="9"/>
        <v>0</v>
      </c>
      <c r="AL31" s="54"/>
      <c r="AM31" s="347"/>
      <c r="AN31" s="349"/>
      <c r="AO31" s="354"/>
      <c r="AR31" s="69">
        <f t="shared" si="14"/>
        <v>0</v>
      </c>
      <c r="AS31" s="54"/>
      <c r="AT31" s="65"/>
      <c r="AU31" s="69"/>
      <c r="AW31" s="69">
        <f t="shared" si="10"/>
        <v>0</v>
      </c>
      <c r="AX31" s="381"/>
      <c r="AY31" s="69">
        <f t="shared" si="11"/>
        <v>0</v>
      </c>
      <c r="AZ31" s="55">
        <f t="shared" si="13"/>
        <v>0</v>
      </c>
      <c r="BA31" s="69">
        <f t="shared" si="1"/>
        <v>0</v>
      </c>
      <c r="BB31" s="501"/>
      <c r="BE31" s="501"/>
      <c r="BF31" s="221"/>
      <c r="BG31" s="365">
        <f t="shared" si="15"/>
        <v>0</v>
      </c>
      <c r="BH31" s="223">
        <f t="shared" si="16"/>
        <v>0</v>
      </c>
      <c r="BI31" s="55"/>
      <c r="BJ31" s="55"/>
      <c r="BK31" s="65"/>
      <c r="BL31" s="69">
        <f t="shared" si="12"/>
        <v>0</v>
      </c>
      <c r="BM31" s="69">
        <f t="shared" si="12"/>
        <v>0</v>
      </c>
      <c r="BN31" s="69"/>
      <c r="BO31" s="576"/>
      <c r="BP31" s="576"/>
      <c r="BQ31" s="65"/>
      <c r="BR31" s="55"/>
      <c r="BS31" s="55"/>
      <c r="BT31" s="223"/>
      <c r="BU31" s="223"/>
      <c r="BV31" s="347"/>
    </row>
    <row r="32" spans="1:74" x14ac:dyDescent="0.25">
      <c r="A32" s="54" t="s">
        <v>241</v>
      </c>
      <c r="B32" s="58" t="s">
        <v>242</v>
      </c>
      <c r="C32" s="55">
        <v>0</v>
      </c>
      <c r="D32" s="55"/>
      <c r="E32" s="55"/>
      <c r="F32" s="55"/>
      <c r="G32" s="55">
        <v>150000</v>
      </c>
      <c r="H32" s="55">
        <v>50000</v>
      </c>
      <c r="I32" s="55">
        <f t="shared" si="2"/>
        <v>54545.454545454544</v>
      </c>
      <c r="J32" s="55"/>
      <c r="K32" s="55"/>
      <c r="L32" s="55"/>
      <c r="M32" s="55">
        <f t="shared" si="3"/>
        <v>0</v>
      </c>
      <c r="N32" s="54"/>
      <c r="O32" s="55"/>
      <c r="P32" s="55">
        <v>50000</v>
      </c>
      <c r="Q32" s="55">
        <v>62500</v>
      </c>
      <c r="R32" s="55"/>
      <c r="S32" s="55"/>
      <c r="T32" s="55">
        <v>62500</v>
      </c>
      <c r="U32" s="55"/>
      <c r="V32" s="69">
        <f t="shared" si="4"/>
        <v>0</v>
      </c>
      <c r="W32" s="69">
        <f t="shared" si="5"/>
        <v>0</v>
      </c>
      <c r="X32" s="122"/>
      <c r="Y32" s="54"/>
      <c r="Z32" s="207">
        <f t="shared" si="6"/>
        <v>0</v>
      </c>
      <c r="AA32" s="69">
        <f t="shared" si="7"/>
        <v>0</v>
      </c>
      <c r="AB32" s="55"/>
      <c r="AC32" s="55"/>
      <c r="AD32" s="55"/>
      <c r="AE32" s="54"/>
      <c r="AF32" s="55"/>
      <c r="AG32" s="65"/>
      <c r="AH32" s="215">
        <f t="shared" si="8"/>
        <v>0</v>
      </c>
      <c r="AJ32" s="55"/>
      <c r="AK32" s="69">
        <f t="shared" si="9"/>
        <v>0</v>
      </c>
      <c r="AL32" s="54"/>
      <c r="AM32" s="347"/>
      <c r="AN32" s="349"/>
      <c r="AO32" s="354"/>
      <c r="AR32" s="69">
        <f t="shared" si="14"/>
        <v>0</v>
      </c>
      <c r="AS32" s="54"/>
      <c r="AT32" s="65"/>
      <c r="AU32" s="69"/>
      <c r="AW32" s="69">
        <f t="shared" si="10"/>
        <v>0</v>
      </c>
      <c r="AX32" s="381"/>
      <c r="AY32" s="69">
        <f t="shared" si="11"/>
        <v>0</v>
      </c>
      <c r="AZ32" s="55">
        <f t="shared" si="13"/>
        <v>0</v>
      </c>
      <c r="BA32" s="69">
        <f t="shared" si="1"/>
        <v>0</v>
      </c>
      <c r="BB32" s="501"/>
      <c r="BE32" s="501"/>
      <c r="BF32" s="221"/>
      <c r="BG32" s="365">
        <f t="shared" si="15"/>
        <v>0</v>
      </c>
      <c r="BH32" s="223">
        <f t="shared" si="16"/>
        <v>0</v>
      </c>
      <c r="BI32" s="55"/>
      <c r="BJ32" s="55"/>
      <c r="BK32" s="65"/>
      <c r="BL32" s="69">
        <f t="shared" si="12"/>
        <v>0</v>
      </c>
      <c r="BM32" s="69">
        <f t="shared" si="12"/>
        <v>0</v>
      </c>
      <c r="BN32" s="69"/>
      <c r="BO32" s="576"/>
      <c r="BP32" s="576"/>
      <c r="BQ32" s="65"/>
      <c r="BR32" s="55"/>
      <c r="BS32" s="55"/>
      <c r="BT32" s="223"/>
      <c r="BU32" s="223"/>
      <c r="BV32" s="347"/>
    </row>
    <row r="33" spans="1:103" x14ac:dyDescent="0.25">
      <c r="A33" s="54" t="s">
        <v>253</v>
      </c>
      <c r="B33" s="58" t="s">
        <v>254</v>
      </c>
      <c r="C33" s="55"/>
      <c r="D33" s="55"/>
      <c r="E33" s="55"/>
      <c r="F33" s="55"/>
      <c r="G33" s="55"/>
      <c r="H33" s="55"/>
      <c r="I33" s="55">
        <f t="shared" si="2"/>
        <v>0</v>
      </c>
      <c r="J33" s="55"/>
      <c r="K33" s="55"/>
      <c r="L33" s="55"/>
      <c r="M33" s="55">
        <f t="shared" si="3"/>
        <v>0</v>
      </c>
      <c r="N33" s="54"/>
      <c r="O33" s="55"/>
      <c r="P33" s="55"/>
      <c r="Q33" s="55"/>
      <c r="R33" s="55"/>
      <c r="S33" s="55"/>
      <c r="T33" s="55"/>
      <c r="U33" s="55"/>
      <c r="V33" s="69">
        <f t="shared" si="4"/>
        <v>0</v>
      </c>
      <c r="W33" s="69">
        <f t="shared" si="5"/>
        <v>0</v>
      </c>
      <c r="X33" s="122"/>
      <c r="Y33" s="54"/>
      <c r="Z33" s="207" t="e">
        <f t="shared" si="6"/>
        <v>#DIV/0!</v>
      </c>
      <c r="AA33" s="69">
        <f t="shared" si="7"/>
        <v>0</v>
      </c>
      <c r="AB33" s="55"/>
      <c r="AC33" s="55"/>
      <c r="AD33" s="55"/>
      <c r="AE33" s="54"/>
      <c r="AF33" s="55"/>
      <c r="AG33" s="65"/>
      <c r="AH33" s="215">
        <f t="shared" si="8"/>
        <v>0</v>
      </c>
      <c r="AJ33" s="55"/>
      <c r="AK33" s="69">
        <f t="shared" si="9"/>
        <v>0</v>
      </c>
      <c r="AL33" s="54"/>
      <c r="AM33" s="347"/>
      <c r="AN33" s="349"/>
      <c r="AO33" s="354"/>
      <c r="AR33" s="69">
        <f t="shared" si="14"/>
        <v>0</v>
      </c>
      <c r="AS33" s="54"/>
      <c r="AT33" s="65"/>
      <c r="AU33" s="69"/>
      <c r="AW33" s="69">
        <f t="shared" si="10"/>
        <v>0</v>
      </c>
      <c r="AX33" s="381"/>
      <c r="AY33" s="69">
        <f t="shared" si="11"/>
        <v>0</v>
      </c>
      <c r="AZ33" s="55">
        <f t="shared" si="13"/>
        <v>0</v>
      </c>
      <c r="BA33" s="69">
        <f t="shared" si="1"/>
        <v>0</v>
      </c>
      <c r="BB33" s="501"/>
      <c r="BE33" s="501"/>
      <c r="BF33" s="221"/>
      <c r="BG33" s="365">
        <f t="shared" si="15"/>
        <v>0</v>
      </c>
      <c r="BH33" s="223">
        <f t="shared" si="16"/>
        <v>0</v>
      </c>
      <c r="BI33" s="55"/>
      <c r="BJ33" s="55"/>
      <c r="BK33" s="65"/>
      <c r="BL33" s="69">
        <f t="shared" si="12"/>
        <v>0</v>
      </c>
      <c r="BM33" s="69">
        <f t="shared" si="12"/>
        <v>0</v>
      </c>
      <c r="BN33" s="69"/>
      <c r="BO33" s="576"/>
      <c r="BP33" s="576"/>
      <c r="BQ33" s="65"/>
      <c r="BR33" s="55"/>
      <c r="BS33" s="55"/>
      <c r="BT33" s="223"/>
      <c r="BU33" s="223"/>
      <c r="BV33" s="347"/>
    </row>
    <row r="34" spans="1:103" x14ac:dyDescent="0.25">
      <c r="A34" s="54" t="s">
        <v>663</v>
      </c>
      <c r="B34" s="58" t="s">
        <v>664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4"/>
      <c r="O34" s="55"/>
      <c r="P34" s="55"/>
      <c r="Q34" s="55"/>
      <c r="R34" s="55"/>
      <c r="S34" s="55"/>
      <c r="T34" s="55"/>
      <c r="U34" s="55"/>
      <c r="V34" s="69"/>
      <c r="W34" s="69"/>
      <c r="X34" s="122"/>
      <c r="Y34" s="54"/>
      <c r="Z34" s="207"/>
      <c r="AA34" s="69"/>
      <c r="AB34" s="55"/>
      <c r="AC34" s="55"/>
      <c r="AD34" s="55"/>
      <c r="AE34" s="54"/>
      <c r="AF34" s="55"/>
      <c r="AG34" s="65"/>
      <c r="AH34" s="215"/>
      <c r="AJ34" s="55"/>
      <c r="AK34" s="69"/>
      <c r="AL34" s="54"/>
      <c r="AM34" s="347"/>
      <c r="AN34" s="349"/>
      <c r="AO34" s="354"/>
      <c r="AR34" s="69"/>
      <c r="AS34" s="54"/>
      <c r="AT34" s="65"/>
      <c r="AU34" s="69"/>
      <c r="AW34" s="69"/>
      <c r="AX34" s="381"/>
      <c r="AY34" s="69"/>
      <c r="AZ34" s="55"/>
      <c r="BA34" s="69"/>
      <c r="BB34" s="501"/>
      <c r="BE34" s="501"/>
      <c r="BF34" s="221"/>
      <c r="BG34" s="365"/>
      <c r="BH34" s="223"/>
      <c r="BI34" s="55"/>
      <c r="BJ34" s="55"/>
      <c r="BK34" s="65"/>
      <c r="BL34" s="69"/>
      <c r="BM34" s="69"/>
      <c r="BN34" s="69"/>
      <c r="BO34" s="576"/>
      <c r="BP34" s="576"/>
      <c r="BQ34" s="65"/>
      <c r="BR34" s="55"/>
      <c r="BS34" s="55"/>
      <c r="BT34" s="223"/>
      <c r="BU34" s="223"/>
      <c r="BV34" s="347"/>
    </row>
    <row r="35" spans="1:103" x14ac:dyDescent="0.25">
      <c r="A35" s="54" t="s">
        <v>27</v>
      </c>
      <c r="B35" s="446" t="s">
        <v>192</v>
      </c>
      <c r="C35" s="55">
        <v>0</v>
      </c>
      <c r="D35" s="55">
        <v>5887000</v>
      </c>
      <c r="E35" s="55">
        <v>0</v>
      </c>
      <c r="F35" s="55">
        <v>4990894</v>
      </c>
      <c r="G35" s="55">
        <v>4990894</v>
      </c>
      <c r="H35" s="55">
        <v>4990894</v>
      </c>
      <c r="I35" s="55">
        <f t="shared" si="2"/>
        <v>5444611.6363636367</v>
      </c>
      <c r="J35" s="55">
        <v>0</v>
      </c>
      <c r="K35" s="55">
        <v>0</v>
      </c>
      <c r="L35" s="55">
        <v>0</v>
      </c>
      <c r="M35" s="55">
        <f t="shared" si="3"/>
        <v>0</v>
      </c>
      <c r="N35" s="54"/>
      <c r="O35" s="55">
        <v>4270764</v>
      </c>
      <c r="P35" s="55">
        <v>4270764</v>
      </c>
      <c r="Q35" s="55">
        <v>4270764</v>
      </c>
      <c r="R35" s="55"/>
      <c r="S35" s="55">
        <v>4270764</v>
      </c>
      <c r="T35" s="55">
        <v>4270764</v>
      </c>
      <c r="U35" s="55"/>
      <c r="V35" s="69">
        <f t="shared" si="4"/>
        <v>0</v>
      </c>
      <c r="W35" s="69">
        <f t="shared" si="5"/>
        <v>0</v>
      </c>
      <c r="X35" s="122"/>
      <c r="Y35" s="54"/>
      <c r="Z35" s="207">
        <f t="shared" si="6"/>
        <v>0</v>
      </c>
      <c r="AA35" s="69">
        <f t="shared" si="7"/>
        <v>0</v>
      </c>
      <c r="AB35" s="55">
        <v>6631901</v>
      </c>
      <c r="AC35" s="55">
        <v>6631901</v>
      </c>
      <c r="AD35" s="55">
        <v>6631901</v>
      </c>
      <c r="AE35" s="55">
        <v>6631901</v>
      </c>
      <c r="AF35" s="55"/>
      <c r="AG35" s="55">
        <v>6631901</v>
      </c>
      <c r="AH35" s="215"/>
      <c r="AJ35" s="55"/>
      <c r="AK35" s="69">
        <f t="shared" si="9"/>
        <v>0</v>
      </c>
      <c r="AL35" s="54"/>
      <c r="AM35" s="347">
        <v>6631901</v>
      </c>
      <c r="AN35" s="349"/>
      <c r="AO35" s="354"/>
      <c r="AP35" s="55">
        <v>4155693</v>
      </c>
      <c r="AQ35" s="55">
        <v>4155693</v>
      </c>
      <c r="AR35" s="55">
        <v>4155693</v>
      </c>
      <c r="AS35" s="55">
        <v>4155693</v>
      </c>
      <c r="AT35" s="55">
        <v>4155693</v>
      </c>
      <c r="AU35" s="69">
        <f>AP35-AT35</f>
        <v>0</v>
      </c>
      <c r="AV35" s="54">
        <f>AU35/AP35*100</f>
        <v>0</v>
      </c>
      <c r="AW35" s="69">
        <f t="shared" si="10"/>
        <v>0</v>
      </c>
      <c r="AX35" s="381"/>
      <c r="AY35" s="69">
        <f t="shared" si="11"/>
        <v>0</v>
      </c>
      <c r="AZ35" s="55">
        <v>2730391</v>
      </c>
      <c r="BA35" s="69">
        <f t="shared" si="1"/>
        <v>2730391</v>
      </c>
      <c r="BB35" s="501">
        <v>2730391</v>
      </c>
      <c r="BC35" s="501">
        <v>4037216</v>
      </c>
      <c r="BD35" s="501">
        <v>4037216</v>
      </c>
      <c r="BE35" s="501">
        <v>4037216</v>
      </c>
      <c r="BF35" s="221">
        <v>4037216</v>
      </c>
      <c r="BG35" s="365">
        <f t="shared" si="15"/>
        <v>4844659.1999999993</v>
      </c>
      <c r="BH35" s="223">
        <v>164344</v>
      </c>
      <c r="BI35" s="55">
        <v>8235518</v>
      </c>
      <c r="BJ35" s="55">
        <v>8235518</v>
      </c>
      <c r="BK35" s="65">
        <v>8235518</v>
      </c>
      <c r="BL35" s="69"/>
      <c r="BM35" s="69">
        <v>480729</v>
      </c>
      <c r="BN35" s="69">
        <v>480729</v>
      </c>
      <c r="BO35" s="576">
        <v>21905723</v>
      </c>
      <c r="BP35" s="576">
        <v>21905723</v>
      </c>
      <c r="BQ35" s="65">
        <v>758448</v>
      </c>
      <c r="BR35" s="55">
        <v>758448</v>
      </c>
      <c r="BS35" s="55">
        <v>542261</v>
      </c>
      <c r="BT35" s="223">
        <v>542261</v>
      </c>
      <c r="BU35" s="223">
        <v>300188</v>
      </c>
      <c r="BV35" s="872"/>
    </row>
    <row r="36" spans="1:103" x14ac:dyDescent="0.25">
      <c r="A36" s="54" t="s">
        <v>735</v>
      </c>
      <c r="B36" s="446" t="s">
        <v>442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4"/>
      <c r="O36" s="55"/>
      <c r="P36" s="55"/>
      <c r="Q36" s="55"/>
      <c r="R36" s="55"/>
      <c r="S36" s="55"/>
      <c r="T36" s="55"/>
      <c r="U36" s="55"/>
      <c r="V36" s="69"/>
      <c r="W36" s="69"/>
      <c r="X36" s="122"/>
      <c r="Y36" s="54"/>
      <c r="Z36" s="207"/>
      <c r="AA36" s="69"/>
      <c r="AB36" s="55"/>
      <c r="AC36" s="55"/>
      <c r="AD36" s="55"/>
      <c r="AE36" s="54"/>
      <c r="AF36" s="55"/>
      <c r="AG36" s="65"/>
      <c r="AH36" s="215">
        <f t="shared" si="8"/>
        <v>0</v>
      </c>
      <c r="AJ36" s="55"/>
      <c r="AK36" s="69">
        <f t="shared" si="9"/>
        <v>0</v>
      </c>
      <c r="AL36" s="54"/>
      <c r="AM36" s="347"/>
      <c r="AN36" s="349"/>
      <c r="AO36" s="354"/>
      <c r="AR36" s="69">
        <f t="shared" si="14"/>
        <v>0</v>
      </c>
      <c r="AS36" s="54"/>
      <c r="AT36" s="65"/>
      <c r="AU36" s="69"/>
      <c r="AW36" s="69">
        <f t="shared" si="10"/>
        <v>0</v>
      </c>
      <c r="AX36" s="381"/>
      <c r="AY36" s="69">
        <f t="shared" si="11"/>
        <v>0</v>
      </c>
      <c r="AZ36" s="55">
        <f t="shared" si="13"/>
        <v>0</v>
      </c>
      <c r="BA36" s="69">
        <f t="shared" si="1"/>
        <v>0</v>
      </c>
      <c r="BB36" s="501"/>
      <c r="BE36" s="501"/>
      <c r="BF36" s="221"/>
      <c r="BG36" s="365">
        <f t="shared" si="15"/>
        <v>0</v>
      </c>
      <c r="BH36" s="223">
        <f t="shared" si="16"/>
        <v>0</v>
      </c>
      <c r="BI36" s="55"/>
      <c r="BJ36" s="55"/>
      <c r="BK36" s="65"/>
      <c r="BL36" s="69">
        <f t="shared" si="12"/>
        <v>0</v>
      </c>
      <c r="BM36" s="69"/>
      <c r="BN36" s="69"/>
      <c r="BO36" s="576"/>
      <c r="BP36" s="576">
        <f t="shared" ref="BP36:BP83" si="17">BO36/10*12</f>
        <v>0</v>
      </c>
      <c r="BQ36" s="65"/>
      <c r="BR36" s="55"/>
      <c r="BS36" s="55"/>
      <c r="BT36" s="223"/>
      <c r="BU36" s="223"/>
      <c r="BV36" s="347"/>
    </row>
    <row r="37" spans="1:103" x14ac:dyDescent="0.25">
      <c r="A37" s="54" t="s">
        <v>28</v>
      </c>
      <c r="B37" s="58" t="s">
        <v>197</v>
      </c>
      <c r="C37" s="55">
        <v>52111000</v>
      </c>
      <c r="D37" s="55">
        <v>43714879</v>
      </c>
      <c r="E37" s="55">
        <v>67831794</v>
      </c>
      <c r="F37" s="55">
        <v>53996362</v>
      </c>
      <c r="G37" s="55">
        <v>67831795</v>
      </c>
      <c r="H37" s="55">
        <v>60092458</v>
      </c>
      <c r="I37" s="55">
        <f t="shared" si="2"/>
        <v>65555408.727272727</v>
      </c>
      <c r="J37" s="55">
        <v>78145266</v>
      </c>
      <c r="K37" s="55">
        <v>74582699.786666662</v>
      </c>
      <c r="L37" s="55" t="e">
        <f>L104-L24</f>
        <v>#REF!</v>
      </c>
      <c r="M37" s="55" t="e">
        <f t="shared" si="3"/>
        <v>#REF!</v>
      </c>
      <c r="N37" s="54"/>
      <c r="O37" s="55">
        <v>74582700</v>
      </c>
      <c r="P37" s="55">
        <v>56072840</v>
      </c>
      <c r="Q37" s="55">
        <v>64940929</v>
      </c>
      <c r="R37" s="55">
        <f>R104</f>
        <v>88378430.471100003</v>
      </c>
      <c r="S37" s="55">
        <v>74582700</v>
      </c>
      <c r="T37" s="55">
        <v>73581717</v>
      </c>
      <c r="U37" s="55">
        <f>U104-U18</f>
        <v>86633153</v>
      </c>
      <c r="V37" s="69">
        <f t="shared" si="4"/>
        <v>86633153</v>
      </c>
      <c r="W37" s="152">
        <f>W104-W18</f>
        <v>82328028</v>
      </c>
      <c r="X37" s="122">
        <f t="shared" ref="X37:X72" si="18">T37/V37*100</f>
        <v>84.934825124049212</v>
      </c>
      <c r="Y37" s="54"/>
      <c r="Z37" s="207">
        <f t="shared" si="6"/>
        <v>1.1188652746442436</v>
      </c>
      <c r="AA37" s="69">
        <f>AA104-AA18</f>
        <v>79928028</v>
      </c>
      <c r="AB37" s="69">
        <f>AB104-AB18</f>
        <v>43265251</v>
      </c>
      <c r="AC37" s="69">
        <f>AC104-AC18</f>
        <v>56626638</v>
      </c>
      <c r="AD37" s="69">
        <f>AD104-AD18</f>
        <v>55714354</v>
      </c>
      <c r="AE37" s="69">
        <f>AE104-AE18</f>
        <v>1489.136967278346</v>
      </c>
      <c r="AF37" s="69">
        <v>80655028</v>
      </c>
      <c r="AG37" s="65">
        <v>69251162</v>
      </c>
      <c r="AH37" s="215">
        <v>80205028</v>
      </c>
      <c r="AI37" s="216">
        <v>93553686.576000005</v>
      </c>
      <c r="AJ37" s="55"/>
      <c r="AK37" s="69">
        <f>AK104-AK18</f>
        <v>87879179.57599999</v>
      </c>
      <c r="AL37" s="54"/>
      <c r="AM37" s="347">
        <v>82799990</v>
      </c>
      <c r="AN37" s="349">
        <v>85249809</v>
      </c>
      <c r="AO37" s="354">
        <v>43813751</v>
      </c>
      <c r="AP37" s="55">
        <v>81094116</v>
      </c>
      <c r="AQ37" s="55">
        <v>72879341</v>
      </c>
      <c r="AR37" s="69">
        <f t="shared" si="14"/>
        <v>8214775</v>
      </c>
      <c r="AS37" s="54">
        <f t="shared" ref="AS37:AS73" si="19">AQ37/AP37*100</f>
        <v>89.870072694300035</v>
      </c>
      <c r="AT37" s="65">
        <v>75039796</v>
      </c>
      <c r="AU37" s="69">
        <f>AP37-AT37</f>
        <v>6054320</v>
      </c>
      <c r="AV37" s="54">
        <f>AU37/AP37*100</f>
        <v>7.4657944356900066</v>
      </c>
      <c r="AW37" s="69">
        <f>AW104-AW18</f>
        <v>87879179.170000002</v>
      </c>
      <c r="AX37" s="69">
        <f>AX104-AX18</f>
        <v>99260715.24000001</v>
      </c>
      <c r="AY37" s="69">
        <f t="shared" ref="AY37:BA37" si="20">AY104-AY18</f>
        <v>96170991.960000008</v>
      </c>
      <c r="AZ37" s="55">
        <f>AZ104-AZ18-AZ35</f>
        <v>95168874.75</v>
      </c>
      <c r="BA37" s="69">
        <f t="shared" si="20"/>
        <v>99260714.710000008</v>
      </c>
      <c r="BB37" s="501">
        <v>95168875</v>
      </c>
      <c r="BC37" s="501">
        <v>95168875</v>
      </c>
      <c r="BD37" s="501">
        <v>51848246</v>
      </c>
      <c r="BE37" s="501">
        <v>64806701</v>
      </c>
      <c r="BF37" s="221">
        <v>72202523</v>
      </c>
      <c r="BG37" s="365">
        <f t="shared" si="15"/>
        <v>86643027.599999994</v>
      </c>
      <c r="BH37" s="223">
        <v>101250294</v>
      </c>
      <c r="BI37" s="55">
        <v>99153426</v>
      </c>
      <c r="BJ37" s="55">
        <v>48574734</v>
      </c>
      <c r="BK37" s="65">
        <v>84662981</v>
      </c>
      <c r="BL37" s="69">
        <v>97395762</v>
      </c>
      <c r="BM37" s="69">
        <v>122495467</v>
      </c>
      <c r="BN37" s="69">
        <v>122495467</v>
      </c>
      <c r="BO37" s="576">
        <v>97450795</v>
      </c>
      <c r="BP37" s="576">
        <v>95937179</v>
      </c>
      <c r="BQ37" s="65">
        <v>128467150</v>
      </c>
      <c r="BR37" s="55">
        <v>140489855</v>
      </c>
      <c r="BS37" s="55">
        <v>140706042</v>
      </c>
      <c r="BT37" s="222">
        <v>138852223</v>
      </c>
      <c r="BU37" s="1">
        <v>142626312</v>
      </c>
      <c r="BV37" s="347">
        <v>141812376</v>
      </c>
    </row>
    <row r="38" spans="1:103" x14ac:dyDescent="0.25">
      <c r="A38" s="54" t="s">
        <v>29</v>
      </c>
      <c r="B38" s="446"/>
      <c r="C38" s="55">
        <v>0</v>
      </c>
      <c r="D38" s="55">
        <v>0</v>
      </c>
      <c r="E38" s="55">
        <v>0</v>
      </c>
      <c r="F38" s="55"/>
      <c r="G38" s="55"/>
      <c r="H38" s="55"/>
      <c r="I38" s="55">
        <f t="shared" si="2"/>
        <v>0</v>
      </c>
      <c r="J38" s="65"/>
      <c r="K38" s="65"/>
      <c r="L38" s="65"/>
      <c r="M38" s="55">
        <f t="shared" si="3"/>
        <v>0</v>
      </c>
      <c r="N38" s="54"/>
      <c r="O38" s="55"/>
      <c r="P38" s="55"/>
      <c r="Q38" s="55"/>
      <c r="R38" s="55"/>
      <c r="S38" s="55"/>
      <c r="T38" s="55"/>
      <c r="U38" s="55"/>
      <c r="V38" s="69">
        <f t="shared" si="4"/>
        <v>0</v>
      </c>
      <c r="W38" s="69">
        <f t="shared" si="5"/>
        <v>0</v>
      </c>
      <c r="X38" s="122"/>
      <c r="Y38" s="54"/>
      <c r="Z38" s="207" t="e">
        <f t="shared" si="6"/>
        <v>#DIV/0!</v>
      </c>
      <c r="AA38" s="69">
        <f t="shared" si="7"/>
        <v>0</v>
      </c>
      <c r="AB38" s="55"/>
      <c r="AC38" s="55"/>
      <c r="AD38" s="55"/>
      <c r="AE38" s="54"/>
      <c r="AF38" s="55"/>
      <c r="AG38" s="65"/>
      <c r="AH38" s="222">
        <f>AG38/11*12</f>
        <v>0</v>
      </c>
      <c r="AJ38" s="55"/>
      <c r="AK38" s="69">
        <f t="shared" si="9"/>
        <v>0</v>
      </c>
      <c r="AL38" s="54"/>
      <c r="AM38" s="54"/>
      <c r="AN38" s="349"/>
      <c r="AO38" s="354"/>
      <c r="AR38" s="69">
        <f t="shared" si="14"/>
        <v>0</v>
      </c>
      <c r="AS38" s="54"/>
      <c r="AT38" s="65"/>
      <c r="AU38" s="69"/>
      <c r="AW38" s="69">
        <f t="shared" si="10"/>
        <v>0</v>
      </c>
      <c r="AX38" s="381"/>
      <c r="AY38" s="69">
        <f t="shared" si="11"/>
        <v>0</v>
      </c>
      <c r="AZ38" s="55">
        <f t="shared" ref="AZ38" si="21">AY38</f>
        <v>0</v>
      </c>
      <c r="BA38" s="69">
        <f>AZ38</f>
        <v>0</v>
      </c>
      <c r="BB38" s="501"/>
      <c r="BE38" s="501"/>
      <c r="BF38" s="221"/>
      <c r="BG38" s="365">
        <f t="shared" si="15"/>
        <v>0</v>
      </c>
      <c r="BH38" s="223">
        <f t="shared" ref="BH38" si="22">BB38*1.6</f>
        <v>0</v>
      </c>
      <c r="BI38" s="55"/>
      <c r="BJ38" s="55"/>
      <c r="BK38" s="65"/>
      <c r="BL38" s="69">
        <f t="shared" si="12"/>
        <v>0</v>
      </c>
      <c r="BM38" s="69">
        <f t="shared" si="12"/>
        <v>0</v>
      </c>
      <c r="BN38" s="69"/>
      <c r="BO38" s="576"/>
      <c r="BP38" s="576">
        <f t="shared" si="17"/>
        <v>0</v>
      </c>
      <c r="BQ38" s="65"/>
      <c r="BR38" s="55"/>
      <c r="BS38" s="55"/>
      <c r="BT38" s="223"/>
      <c r="BU38" s="223"/>
      <c r="BV38" s="347"/>
    </row>
    <row r="39" spans="1:103" s="39" customFormat="1" ht="15.75" x14ac:dyDescent="0.25">
      <c r="A39" s="59" t="s">
        <v>30</v>
      </c>
      <c r="B39" s="447" t="s">
        <v>140</v>
      </c>
      <c r="C39" s="60">
        <v>28311533</v>
      </c>
      <c r="D39" s="60">
        <v>27750072</v>
      </c>
      <c r="E39" s="60">
        <v>37651390</v>
      </c>
      <c r="F39" s="60">
        <f>28790860+1549328+1380238</f>
        <v>31720426</v>
      </c>
      <c r="G39" s="60">
        <v>32945799</v>
      </c>
      <c r="H39" s="60">
        <v>31655629</v>
      </c>
      <c r="I39" s="60">
        <f>H39+2814843</f>
        <v>34470472</v>
      </c>
      <c r="J39" s="60">
        <v>44774751</v>
      </c>
      <c r="K39" s="60">
        <v>40211655</v>
      </c>
      <c r="L39" s="60" t="e">
        <f>44774751-L40-L48-L46+184464-1991000+#REF!-2610816+#REF!</f>
        <v>#REF!</v>
      </c>
      <c r="M39" s="60" t="e">
        <f t="shared" si="3"/>
        <v>#REF!</v>
      </c>
      <c r="N39" s="59"/>
      <c r="O39" s="60">
        <v>40211655</v>
      </c>
      <c r="P39" s="60">
        <v>29956458</v>
      </c>
      <c r="Q39" s="60">
        <v>33264748</v>
      </c>
      <c r="R39" s="60">
        <f>49958758.98+930000+338616</f>
        <v>51227374.979999997</v>
      </c>
      <c r="S39" s="60">
        <v>39911655</v>
      </c>
      <c r="T39" s="60">
        <v>39253937</v>
      </c>
      <c r="U39" s="60">
        <f>49039402+200000+2000000-2250000-2800000</f>
        <v>46189402</v>
      </c>
      <c r="V39" s="124">
        <f t="shared" si="4"/>
        <v>46189402</v>
      </c>
      <c r="W39" s="152">
        <f t="shared" si="5"/>
        <v>46189402</v>
      </c>
      <c r="X39" s="123">
        <f t="shared" si="18"/>
        <v>84.984726582950785</v>
      </c>
      <c r="Y39" s="59"/>
      <c r="Z39" s="207">
        <f t="shared" si="6"/>
        <v>1.1766820230031958</v>
      </c>
      <c r="AA39" s="124">
        <f t="shared" si="7"/>
        <v>46189402</v>
      </c>
      <c r="AB39" s="60">
        <v>24073453</v>
      </c>
      <c r="AC39" s="60">
        <v>32441897</v>
      </c>
      <c r="AD39" s="60">
        <v>36829532</v>
      </c>
      <c r="AE39" s="123">
        <f>AD39/AA39*100</f>
        <v>79.735892662130595</v>
      </c>
      <c r="AF39" s="60">
        <v>46089402</v>
      </c>
      <c r="AG39" s="60">
        <v>40915976</v>
      </c>
      <c r="AH39" s="217">
        <f>AG39/11*12</f>
        <v>44635610.18181818</v>
      </c>
      <c r="AI39" s="60">
        <v>46189402</v>
      </c>
      <c r="AJ39" s="60"/>
      <c r="AK39" s="124">
        <f>AI39+1144114</f>
        <v>47333516</v>
      </c>
      <c r="AL39" s="59"/>
      <c r="AM39" s="348">
        <v>49316272</v>
      </c>
      <c r="AN39" s="350">
        <v>47306516</v>
      </c>
      <c r="AO39" s="356">
        <v>25957567</v>
      </c>
      <c r="AP39" s="60">
        <v>47306516</v>
      </c>
      <c r="AQ39" s="65">
        <v>38583988</v>
      </c>
      <c r="AR39" s="69">
        <f t="shared" si="14"/>
        <v>8722528</v>
      </c>
      <c r="AS39" s="54">
        <f t="shared" si="19"/>
        <v>81.561677465320003</v>
      </c>
      <c r="AT39" s="60">
        <v>42435414</v>
      </c>
      <c r="AU39" s="124">
        <f>AP39-AT39</f>
        <v>4871102</v>
      </c>
      <c r="AV39" s="59">
        <f>AU39/AP39*100</f>
        <v>10.296894406681735</v>
      </c>
      <c r="AW39" s="124">
        <v>47333516</v>
      </c>
      <c r="AX39" s="60">
        <f>AW39*1.08</f>
        <v>51120197.280000001</v>
      </c>
      <c r="AY39" s="124">
        <f>AX39</f>
        <v>51120197.280000001</v>
      </c>
      <c r="AZ39" s="60">
        <v>54958811</v>
      </c>
      <c r="BA39" s="60">
        <v>51120197.280000001</v>
      </c>
      <c r="BB39" s="60">
        <v>54958811</v>
      </c>
      <c r="BC39" s="60">
        <v>52986178</v>
      </c>
      <c r="BD39" s="60">
        <v>30485590</v>
      </c>
      <c r="BE39" s="60">
        <v>39260461</v>
      </c>
      <c r="BF39" s="60">
        <v>43565639</v>
      </c>
      <c r="BG39" s="124">
        <f>BF39/11*12</f>
        <v>47526151.636363633</v>
      </c>
      <c r="BH39" s="217">
        <v>61496209</v>
      </c>
      <c r="BI39" s="60">
        <f>60134887+3914010</f>
        <v>64048897</v>
      </c>
      <c r="BJ39" s="60">
        <v>29278755</v>
      </c>
      <c r="BK39" s="60">
        <v>49588232</v>
      </c>
      <c r="BL39" s="60">
        <f>60134887+3914010</f>
        <v>64048897</v>
      </c>
      <c r="BM39" s="60">
        <v>79734689</v>
      </c>
      <c r="BN39" s="60">
        <v>79734689</v>
      </c>
      <c r="BO39" s="643">
        <v>59443606</v>
      </c>
      <c r="BP39" s="643">
        <f>BO39/10*12+3017178</f>
        <v>74349505.199999988</v>
      </c>
      <c r="BQ39" s="124">
        <f>BP39*1.1</f>
        <v>81784455.719999999</v>
      </c>
      <c r="BR39" s="60">
        <v>90414900</v>
      </c>
      <c r="BS39" s="60">
        <v>90414900</v>
      </c>
      <c r="BT39" s="217">
        <v>90414900</v>
      </c>
      <c r="BU39" s="815">
        <v>87400000</v>
      </c>
      <c r="BV39" s="824">
        <v>97124448</v>
      </c>
      <c r="BW39"/>
      <c r="BX39" s="1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</row>
    <row r="40" spans="1:103" s="39" customFormat="1" ht="15.75" x14ac:dyDescent="0.25">
      <c r="A40" s="59" t="s">
        <v>226</v>
      </c>
      <c r="B40" s="447" t="s">
        <v>227</v>
      </c>
      <c r="C40" s="60"/>
      <c r="D40" s="60"/>
      <c r="E40" s="60"/>
      <c r="F40" s="60"/>
      <c r="G40" s="60">
        <v>1950591</v>
      </c>
      <c r="H40" s="60">
        <v>1950550</v>
      </c>
      <c r="I40" s="60">
        <f>H40+1434307</f>
        <v>3384857</v>
      </c>
      <c r="J40" s="60"/>
      <c r="K40" s="60">
        <v>2000000</v>
      </c>
      <c r="L40" s="60">
        <v>2000000</v>
      </c>
      <c r="M40" s="60">
        <f t="shared" si="3"/>
        <v>59.086691106891664</v>
      </c>
      <c r="N40" s="59"/>
      <c r="O40" s="60">
        <v>2000000</v>
      </c>
      <c r="P40" s="60">
        <v>744542</v>
      </c>
      <c r="Q40" s="60">
        <v>744542</v>
      </c>
      <c r="R40" s="60">
        <v>2000000</v>
      </c>
      <c r="S40" s="60">
        <v>2220797</v>
      </c>
      <c r="T40" s="60">
        <v>2220797</v>
      </c>
      <c r="U40" s="60">
        <v>2250000</v>
      </c>
      <c r="V40" s="124">
        <f t="shared" si="4"/>
        <v>2250000</v>
      </c>
      <c r="W40" s="124">
        <f t="shared" si="5"/>
        <v>2250000</v>
      </c>
      <c r="X40" s="123">
        <f t="shared" si="18"/>
        <v>98.702088888888881</v>
      </c>
      <c r="Y40" s="59"/>
      <c r="Z40" s="207">
        <f t="shared" si="6"/>
        <v>1.0131497836137207</v>
      </c>
      <c r="AA40" s="124">
        <f t="shared" si="7"/>
        <v>2250000</v>
      </c>
      <c r="AB40" s="60">
        <v>94739</v>
      </c>
      <c r="AC40" s="60">
        <v>558688</v>
      </c>
      <c r="AD40" s="60">
        <v>558688</v>
      </c>
      <c r="AE40" s="123">
        <f t="shared" ref="AE40:AE72" si="23">AD40/AA40*100</f>
        <v>24.830577777777776</v>
      </c>
      <c r="AF40" s="60">
        <v>2250000</v>
      </c>
      <c r="AG40" s="60">
        <v>821847</v>
      </c>
      <c r="AH40" s="217">
        <f t="shared" ref="AH40:AH55" si="24">AG40/11*12</f>
        <v>896560.36363636353</v>
      </c>
      <c r="AI40" s="60">
        <v>2250000</v>
      </c>
      <c r="AJ40" s="60"/>
      <c r="AK40" s="124">
        <f t="shared" si="9"/>
        <v>2250000</v>
      </c>
      <c r="AL40" s="59"/>
      <c r="AM40" s="348">
        <v>2515543</v>
      </c>
      <c r="AN40" s="350">
        <v>2250000</v>
      </c>
      <c r="AO40" s="356">
        <v>168421</v>
      </c>
      <c r="AP40" s="60">
        <v>2250000</v>
      </c>
      <c r="AQ40" s="65">
        <v>294738</v>
      </c>
      <c r="AR40" s="69">
        <f t="shared" si="14"/>
        <v>1955262</v>
      </c>
      <c r="AS40" s="54">
        <f t="shared" si="19"/>
        <v>13.099466666666668</v>
      </c>
      <c r="AT40" s="60">
        <v>512783</v>
      </c>
      <c r="AU40" s="124">
        <f>AP40-AT40</f>
        <v>1737217</v>
      </c>
      <c r="AV40" s="59">
        <f>AU40/AP40*100</f>
        <v>77.20964444444445</v>
      </c>
      <c r="AW40" s="124">
        <v>2250000</v>
      </c>
      <c r="AX40" s="60">
        <f t="shared" ref="AX40:AX55" si="25">AW40*1.08</f>
        <v>2430000</v>
      </c>
      <c r="AY40" s="124">
        <f>AX40-1500000</f>
        <v>930000</v>
      </c>
      <c r="AZ40" s="60">
        <v>200000</v>
      </c>
      <c r="BA40" s="60">
        <v>2430000</v>
      </c>
      <c r="BB40" s="60">
        <v>200000</v>
      </c>
      <c r="BC40" s="60">
        <v>918783</v>
      </c>
      <c r="BD40" s="60">
        <v>918783</v>
      </c>
      <c r="BE40" s="60">
        <v>1045098</v>
      </c>
      <c r="BF40" s="60">
        <v>1213520</v>
      </c>
      <c r="BG40" s="124">
        <f t="shared" ref="BG40:BG55" si="26">BF40/11*12</f>
        <v>1323840</v>
      </c>
      <c r="BH40" s="217">
        <v>1000000</v>
      </c>
      <c r="BI40" s="60">
        <v>1000000</v>
      </c>
      <c r="BJ40" s="60">
        <v>80000</v>
      </c>
      <c r="BK40" s="60">
        <v>80000</v>
      </c>
      <c r="BL40" s="60">
        <v>1000000</v>
      </c>
      <c r="BM40" s="124">
        <v>500000</v>
      </c>
      <c r="BN40" s="124">
        <v>500000</v>
      </c>
      <c r="BO40" s="643">
        <v>651130</v>
      </c>
      <c r="BP40" s="643">
        <f t="shared" ref="BP40:BP55" si="27">BO40/10*12</f>
        <v>781356</v>
      </c>
      <c r="BQ40" s="124">
        <f t="shared" ref="BQ40:BQ55" si="28">BP40*1.1</f>
        <v>859491.60000000009</v>
      </c>
      <c r="BR40" s="60">
        <v>1000000</v>
      </c>
      <c r="BS40" s="60">
        <v>1000000</v>
      </c>
      <c r="BT40" s="217">
        <v>1000000</v>
      </c>
      <c r="BU40" s="815"/>
      <c r="BV40" s="825"/>
      <c r="BW40"/>
      <c r="BX40" s="1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</row>
    <row r="41" spans="1:103" s="39" customFormat="1" ht="15.75" x14ac:dyDescent="0.25">
      <c r="A41" s="59" t="s">
        <v>31</v>
      </c>
      <c r="B41" s="447" t="s">
        <v>141</v>
      </c>
      <c r="C41" s="60">
        <v>0</v>
      </c>
      <c r="D41" s="60">
        <v>0</v>
      </c>
      <c r="E41" s="60">
        <v>0</v>
      </c>
      <c r="F41" s="60">
        <v>0</v>
      </c>
      <c r="G41" s="60"/>
      <c r="H41" s="60"/>
      <c r="I41" s="60">
        <f t="shared" si="2"/>
        <v>0</v>
      </c>
      <c r="J41" s="60">
        <v>0</v>
      </c>
      <c r="K41" s="60">
        <v>0</v>
      </c>
      <c r="L41" s="60">
        <v>0</v>
      </c>
      <c r="M41" s="60">
        <f t="shared" si="3"/>
        <v>0</v>
      </c>
      <c r="N41" s="59"/>
      <c r="O41" s="60"/>
      <c r="P41" s="60"/>
      <c r="Q41" s="60"/>
      <c r="R41" s="60"/>
      <c r="S41" s="60"/>
      <c r="T41" s="60"/>
      <c r="U41" s="60"/>
      <c r="V41" s="124">
        <f t="shared" si="4"/>
        <v>0</v>
      </c>
      <c r="W41" s="124">
        <f t="shared" si="5"/>
        <v>0</v>
      </c>
      <c r="X41" s="123"/>
      <c r="Y41" s="59"/>
      <c r="Z41" s="207" t="e">
        <f t="shared" si="6"/>
        <v>#DIV/0!</v>
      </c>
      <c r="AA41" s="124">
        <f t="shared" si="7"/>
        <v>0</v>
      </c>
      <c r="AB41" s="60"/>
      <c r="AC41" s="60"/>
      <c r="AD41" s="60"/>
      <c r="AE41" s="123"/>
      <c r="AF41" s="60"/>
      <c r="AG41" s="60"/>
      <c r="AH41" s="217">
        <f t="shared" si="24"/>
        <v>0</v>
      </c>
      <c r="AI41" s="60"/>
      <c r="AJ41" s="60"/>
      <c r="AK41" s="124">
        <f t="shared" si="9"/>
        <v>0</v>
      </c>
      <c r="AL41" s="59"/>
      <c r="AM41" s="348"/>
      <c r="AN41" s="350">
        <v>27000</v>
      </c>
      <c r="AO41" s="356">
        <v>26211</v>
      </c>
      <c r="AP41" s="60">
        <v>27000</v>
      </c>
      <c r="AQ41" s="65">
        <v>26211</v>
      </c>
      <c r="AR41" s="69">
        <f t="shared" si="14"/>
        <v>789</v>
      </c>
      <c r="AS41" s="54">
        <f t="shared" si="19"/>
        <v>97.077777777777769</v>
      </c>
      <c r="AT41" s="60">
        <v>26211</v>
      </c>
      <c r="AU41" s="124">
        <f>AP41-AT41</f>
        <v>789</v>
      </c>
      <c r="AV41" s="59">
        <f>AU41/AP41*100</f>
        <v>2.9222222222222221</v>
      </c>
      <c r="AW41" s="124">
        <v>0</v>
      </c>
      <c r="AX41" s="60">
        <f t="shared" si="25"/>
        <v>0</v>
      </c>
      <c r="AY41" s="124">
        <f t="shared" si="11"/>
        <v>0</v>
      </c>
      <c r="AZ41" s="60">
        <v>3032287</v>
      </c>
      <c r="BA41" s="60">
        <v>0</v>
      </c>
      <c r="BB41" s="60">
        <v>3032287</v>
      </c>
      <c r="BC41" s="60">
        <v>3032287</v>
      </c>
      <c r="BD41" s="60">
        <v>968590</v>
      </c>
      <c r="BE41" s="60">
        <v>1163785</v>
      </c>
      <c r="BF41" s="60">
        <v>1358980</v>
      </c>
      <c r="BG41" s="124">
        <f t="shared" si="26"/>
        <v>1482523.6363636365</v>
      </c>
      <c r="BH41" s="217">
        <v>3000000</v>
      </c>
      <c r="BI41" s="60">
        <v>3000000</v>
      </c>
      <c r="BJ41" s="60">
        <v>390390</v>
      </c>
      <c r="BK41" s="60">
        <v>390390</v>
      </c>
      <c r="BL41" s="60">
        <v>3000000</v>
      </c>
      <c r="BM41" s="124">
        <v>452400</v>
      </c>
      <c r="BN41" s="124">
        <v>452400</v>
      </c>
      <c r="BO41" s="643"/>
      <c r="BP41" s="643">
        <f t="shared" si="27"/>
        <v>0</v>
      </c>
      <c r="BQ41" s="124">
        <f t="shared" si="28"/>
        <v>0</v>
      </c>
      <c r="BR41" s="60">
        <v>0</v>
      </c>
      <c r="BS41" s="60">
        <v>0</v>
      </c>
      <c r="BT41" s="217">
        <v>0</v>
      </c>
      <c r="BU41" s="815">
        <v>1500000</v>
      </c>
      <c r="BV41" s="825">
        <v>1000000</v>
      </c>
      <c r="BW41"/>
      <c r="BX41" s="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</row>
    <row r="42" spans="1:103" s="39" customFormat="1" ht="15.75" x14ac:dyDescent="0.25">
      <c r="A42" s="59" t="s">
        <v>32</v>
      </c>
      <c r="B42" s="62" t="s">
        <v>198</v>
      </c>
      <c r="C42" s="60">
        <v>0</v>
      </c>
      <c r="D42" s="60">
        <v>0</v>
      </c>
      <c r="E42" s="60">
        <v>0</v>
      </c>
      <c r="F42" s="60"/>
      <c r="G42" s="60"/>
      <c r="H42" s="60"/>
      <c r="I42" s="60">
        <f t="shared" si="2"/>
        <v>0</v>
      </c>
      <c r="J42" s="60"/>
      <c r="K42" s="60"/>
      <c r="L42" s="60"/>
      <c r="M42" s="60">
        <f t="shared" si="3"/>
        <v>0</v>
      </c>
      <c r="N42" s="59"/>
      <c r="O42" s="60"/>
      <c r="P42" s="60"/>
      <c r="Q42" s="60"/>
      <c r="R42" s="60"/>
      <c r="S42" s="60"/>
      <c r="T42" s="60"/>
      <c r="U42" s="60"/>
      <c r="V42" s="124">
        <f t="shared" si="4"/>
        <v>0</v>
      </c>
      <c r="W42" s="124">
        <f t="shared" si="5"/>
        <v>0</v>
      </c>
      <c r="X42" s="123"/>
      <c r="Y42" s="59"/>
      <c r="Z42" s="207" t="e">
        <f t="shared" si="6"/>
        <v>#DIV/0!</v>
      </c>
      <c r="AA42" s="124">
        <f t="shared" si="7"/>
        <v>0</v>
      </c>
      <c r="AB42" s="60"/>
      <c r="AC42" s="60"/>
      <c r="AD42" s="60"/>
      <c r="AE42" s="123"/>
      <c r="AF42" s="60"/>
      <c r="AG42" s="60"/>
      <c r="AH42" s="217">
        <f t="shared" si="24"/>
        <v>0</v>
      </c>
      <c r="AI42" s="60"/>
      <c r="AJ42" s="60"/>
      <c r="AK42" s="124">
        <f t="shared" si="9"/>
        <v>0</v>
      </c>
      <c r="AL42" s="59"/>
      <c r="AM42" s="348"/>
      <c r="AN42" s="350"/>
      <c r="AO42" s="356"/>
      <c r="AP42" s="60"/>
      <c r="AQ42" s="65"/>
      <c r="AR42" s="69">
        <f t="shared" si="14"/>
        <v>0</v>
      </c>
      <c r="AS42" s="54"/>
      <c r="AT42" s="60"/>
      <c r="AU42" s="124"/>
      <c r="AV42" s="59"/>
      <c r="AW42" s="124">
        <f t="shared" si="10"/>
        <v>0</v>
      </c>
      <c r="AX42" s="60">
        <f t="shared" si="25"/>
        <v>0</v>
      </c>
      <c r="AY42" s="124">
        <f t="shared" si="11"/>
        <v>0</v>
      </c>
      <c r="AZ42" s="60">
        <v>0</v>
      </c>
      <c r="BA42" s="60">
        <v>0</v>
      </c>
      <c r="BB42" s="60"/>
      <c r="BC42" s="60"/>
      <c r="BD42" s="60"/>
      <c r="BE42" s="60"/>
      <c r="BF42" s="60"/>
      <c r="BG42" s="124">
        <f t="shared" si="26"/>
        <v>0</v>
      </c>
      <c r="BH42" s="217"/>
      <c r="BI42" s="60"/>
      <c r="BJ42" s="55"/>
      <c r="BK42" s="60"/>
      <c r="BL42" s="60"/>
      <c r="BM42" s="124">
        <f t="shared" ref="BM42:BN55" si="29">BL42*1.14</f>
        <v>0</v>
      </c>
      <c r="BN42" s="124">
        <f t="shared" si="29"/>
        <v>0</v>
      </c>
      <c r="BO42" s="643"/>
      <c r="BP42" s="643">
        <f t="shared" si="27"/>
        <v>0</v>
      </c>
      <c r="BQ42" s="124">
        <f t="shared" si="28"/>
        <v>0</v>
      </c>
      <c r="BR42" s="60"/>
      <c r="BS42" s="60"/>
      <c r="BT42" s="217"/>
      <c r="BU42" s="815"/>
      <c r="BV42" s="825"/>
      <c r="BW42"/>
      <c r="BX42" s="1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</row>
    <row r="43" spans="1:103" s="39" customFormat="1" ht="15.75" x14ac:dyDescent="0.25">
      <c r="A43" s="59" t="s">
        <v>33</v>
      </c>
      <c r="B43" s="447" t="s">
        <v>142</v>
      </c>
      <c r="C43" s="60">
        <v>0</v>
      </c>
      <c r="D43" s="60">
        <v>0</v>
      </c>
      <c r="E43" s="60">
        <v>0</v>
      </c>
      <c r="F43" s="60">
        <v>0</v>
      </c>
      <c r="G43" s="60"/>
      <c r="H43" s="60"/>
      <c r="I43" s="60">
        <f t="shared" si="2"/>
        <v>0</v>
      </c>
      <c r="J43" s="60">
        <v>793254</v>
      </c>
      <c r="K43" s="60">
        <v>793254</v>
      </c>
      <c r="L43" s="60">
        <v>793254</v>
      </c>
      <c r="M43" s="60">
        <f t="shared" si="3"/>
        <v>0</v>
      </c>
      <c r="N43" s="59"/>
      <c r="O43" s="60">
        <v>793254</v>
      </c>
      <c r="P43" s="60"/>
      <c r="Q43" s="60"/>
      <c r="R43" s="60">
        <v>1471966</v>
      </c>
      <c r="S43" s="60">
        <v>116893</v>
      </c>
      <c r="T43" s="60">
        <v>116893</v>
      </c>
      <c r="U43" s="60">
        <f>930786+541180</f>
        <v>1471966</v>
      </c>
      <c r="V43" s="124">
        <f t="shared" si="4"/>
        <v>1471966</v>
      </c>
      <c r="W43" s="124">
        <f t="shared" si="5"/>
        <v>1471966</v>
      </c>
      <c r="X43" s="123">
        <f t="shared" si="18"/>
        <v>7.9412839698743047</v>
      </c>
      <c r="Y43" s="59"/>
      <c r="Z43" s="207">
        <f t="shared" si="6"/>
        <v>12.592422129639926</v>
      </c>
      <c r="AA43" s="124">
        <f t="shared" si="7"/>
        <v>1471966</v>
      </c>
      <c r="AB43" s="60">
        <v>549600</v>
      </c>
      <c r="AC43" s="60">
        <v>549600</v>
      </c>
      <c r="AD43" s="60">
        <v>1459500</v>
      </c>
      <c r="AE43" s="123">
        <f t="shared" si="23"/>
        <v>99.153105438576702</v>
      </c>
      <c r="AF43" s="60">
        <v>1471966</v>
      </c>
      <c r="AG43" s="60">
        <v>1459500</v>
      </c>
      <c r="AH43" s="217">
        <f t="shared" si="24"/>
        <v>1592181.8181818181</v>
      </c>
      <c r="AI43" s="60">
        <v>1471966</v>
      </c>
      <c r="AJ43" s="60"/>
      <c r="AK43" s="124">
        <f t="shared" si="9"/>
        <v>1471966</v>
      </c>
      <c r="AL43" s="59"/>
      <c r="AM43" s="348">
        <v>1459500</v>
      </c>
      <c r="AN43" s="350">
        <v>1471966</v>
      </c>
      <c r="AO43" s="356"/>
      <c r="AP43" s="60">
        <v>1471966</v>
      </c>
      <c r="AQ43" s="65">
        <v>0</v>
      </c>
      <c r="AR43" s="69">
        <f t="shared" si="14"/>
        <v>1471966</v>
      </c>
      <c r="AS43" s="54">
        <f t="shared" si="19"/>
        <v>0</v>
      </c>
      <c r="AT43" s="60"/>
      <c r="AU43" s="124">
        <f>AP43-AT43</f>
        <v>1471966</v>
      </c>
      <c r="AV43" s="59">
        <f>AU43/AP43*100</f>
        <v>100</v>
      </c>
      <c r="AW43" s="124">
        <f t="shared" si="10"/>
        <v>1471966</v>
      </c>
      <c r="AX43" s="60">
        <f t="shared" si="25"/>
        <v>1589723.28</v>
      </c>
      <c r="AY43" s="124"/>
      <c r="AZ43" s="60"/>
      <c r="BA43" s="60"/>
      <c r="BB43" s="60"/>
      <c r="BC43" s="60"/>
      <c r="BD43" s="60"/>
      <c r="BE43" s="60"/>
      <c r="BF43" s="60"/>
      <c r="BG43" s="124">
        <f t="shared" si="26"/>
        <v>0</v>
      </c>
      <c r="BH43" s="217">
        <v>380015</v>
      </c>
      <c r="BI43" s="60">
        <v>380015</v>
      </c>
      <c r="BJ43" s="60">
        <v>0</v>
      </c>
      <c r="BK43" s="60">
        <v>472464</v>
      </c>
      <c r="BL43" s="60">
        <v>380015</v>
      </c>
      <c r="BM43" s="124">
        <v>2742288</v>
      </c>
      <c r="BN43" s="124">
        <v>2742288</v>
      </c>
      <c r="BO43" s="643">
        <v>1411220</v>
      </c>
      <c r="BP43" s="643">
        <f t="shared" si="27"/>
        <v>1693464</v>
      </c>
      <c r="BQ43" s="124">
        <f t="shared" si="28"/>
        <v>1862810.4000000001</v>
      </c>
      <c r="BR43" s="60">
        <f>2205000+1560000</f>
        <v>3765000</v>
      </c>
      <c r="BS43" s="60">
        <f>2205000+1560000</f>
        <v>3765000</v>
      </c>
      <c r="BT43" s="217">
        <f>2205000+1560000</f>
        <v>3765000</v>
      </c>
      <c r="BU43" s="815"/>
      <c r="BV43" s="825"/>
      <c r="BW43"/>
      <c r="BX43" s="1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</row>
    <row r="44" spans="1:103" s="39" customFormat="1" ht="15.75" x14ac:dyDescent="0.25">
      <c r="A44" s="59" t="s">
        <v>34</v>
      </c>
      <c r="B44" s="447" t="s">
        <v>143</v>
      </c>
      <c r="C44" s="60">
        <v>1473840</v>
      </c>
      <c r="D44" s="60">
        <v>1238975</v>
      </c>
      <c r="E44" s="60">
        <v>1768607.6666666667</v>
      </c>
      <c r="F44" s="60">
        <v>1810206</v>
      </c>
      <c r="G44" s="60">
        <v>1898608</v>
      </c>
      <c r="H44" s="60">
        <v>1898016</v>
      </c>
      <c r="I44" s="60">
        <f>H44+88080</f>
        <v>1986096</v>
      </c>
      <c r="J44" s="60">
        <v>1937117</v>
      </c>
      <c r="K44" s="60">
        <v>1937116.6666666667</v>
      </c>
      <c r="L44" s="60" t="e">
        <f>1937117-166667+#REF!</f>
        <v>#REF!</v>
      </c>
      <c r="M44" s="60" t="e">
        <f t="shared" si="3"/>
        <v>#REF!</v>
      </c>
      <c r="N44" s="59"/>
      <c r="O44" s="60">
        <v>1937117</v>
      </c>
      <c r="P44" s="60">
        <v>1622242</v>
      </c>
      <c r="Q44" s="60">
        <v>1729559</v>
      </c>
      <c r="R44" s="60">
        <v>1937117</v>
      </c>
      <c r="S44" s="60">
        <v>1927527</v>
      </c>
      <c r="T44" s="60">
        <v>1927527</v>
      </c>
      <c r="U44" s="60">
        <v>1937117</v>
      </c>
      <c r="V44" s="124">
        <f t="shared" si="4"/>
        <v>1937117</v>
      </c>
      <c r="W44" s="124">
        <f t="shared" si="5"/>
        <v>1937117</v>
      </c>
      <c r="X44" s="123">
        <f t="shared" si="18"/>
        <v>99.504934394773258</v>
      </c>
      <c r="Y44" s="59"/>
      <c r="Z44" s="207">
        <f t="shared" si="6"/>
        <v>1.0049752869869009</v>
      </c>
      <c r="AA44" s="124">
        <f t="shared" si="7"/>
        <v>1937117</v>
      </c>
      <c r="AB44" s="60">
        <v>1654284</v>
      </c>
      <c r="AC44" s="60">
        <v>1654284</v>
      </c>
      <c r="AD44" s="60">
        <v>1654284</v>
      </c>
      <c r="AE44" s="123">
        <f t="shared" si="23"/>
        <v>85.399281509583574</v>
      </c>
      <c r="AF44" s="60">
        <v>1937117</v>
      </c>
      <c r="AG44" s="60">
        <v>1703851</v>
      </c>
      <c r="AH44" s="217">
        <f t="shared" si="24"/>
        <v>1858746.5454545454</v>
      </c>
      <c r="AI44" s="60">
        <v>1937117</v>
      </c>
      <c r="AJ44" s="60"/>
      <c r="AK44" s="124">
        <v>1962259</v>
      </c>
      <c r="AL44" s="59"/>
      <c r="AM44" s="348">
        <v>1703851</v>
      </c>
      <c r="AN44" s="350">
        <v>1962259</v>
      </c>
      <c r="AO44" s="356">
        <v>1358440</v>
      </c>
      <c r="AP44" s="60">
        <v>1962259</v>
      </c>
      <c r="AQ44" s="65">
        <v>1565179</v>
      </c>
      <c r="AR44" s="65">
        <v>1565179</v>
      </c>
      <c r="AS44" s="65">
        <v>1565179</v>
      </c>
      <c r="AT44" s="60">
        <v>1565179</v>
      </c>
      <c r="AU44" s="124">
        <f>AP44-AT44</f>
        <v>397080</v>
      </c>
      <c r="AV44" s="59">
        <f>AU44/AP44*100</f>
        <v>20.235860811442322</v>
      </c>
      <c r="AW44" s="124">
        <v>1962259</v>
      </c>
      <c r="AX44" s="60">
        <f t="shared" si="25"/>
        <v>2119239.7200000002</v>
      </c>
      <c r="AY44" s="124">
        <f t="shared" si="11"/>
        <v>2119239.7200000002</v>
      </c>
      <c r="AZ44" s="60">
        <f>1450000+1589723</f>
        <v>3039723</v>
      </c>
      <c r="BA44" s="60">
        <f>2119239.72+1589723</f>
        <v>3708962.72</v>
      </c>
      <c r="BB44" s="60">
        <v>3039723</v>
      </c>
      <c r="BC44" s="60">
        <v>3039723</v>
      </c>
      <c r="BD44" s="60">
        <v>2236340</v>
      </c>
      <c r="BE44" s="60">
        <v>2236340</v>
      </c>
      <c r="BF44" s="60">
        <v>2236340</v>
      </c>
      <c r="BG44" s="124">
        <f t="shared" si="26"/>
        <v>2439643.6363636362</v>
      </c>
      <c r="BH44" s="217">
        <v>3162250</v>
      </c>
      <c r="BI44" s="60">
        <v>3162250</v>
      </c>
      <c r="BJ44" s="60">
        <v>2317060</v>
      </c>
      <c r="BK44" s="60">
        <v>2317060</v>
      </c>
      <c r="BL44" s="60">
        <v>3162250</v>
      </c>
      <c r="BM44" s="124">
        <v>2200000</v>
      </c>
      <c r="BN44" s="124">
        <v>2200000</v>
      </c>
      <c r="BO44" s="643">
        <v>2581463</v>
      </c>
      <c r="BP44" s="643">
        <f t="shared" si="27"/>
        <v>3097755.5999999996</v>
      </c>
      <c r="BQ44" s="124">
        <f t="shared" si="28"/>
        <v>3407531.1599999997</v>
      </c>
      <c r="BR44" s="60">
        <v>3405500</v>
      </c>
      <c r="BS44" s="60">
        <v>3405500</v>
      </c>
      <c r="BT44" s="217">
        <v>3405500</v>
      </c>
      <c r="BU44" s="815">
        <v>3405500</v>
      </c>
      <c r="BV44" s="824">
        <v>2675750</v>
      </c>
      <c r="BW44"/>
      <c r="BX44" s="1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</row>
    <row r="45" spans="1:103" s="39" customFormat="1" ht="15.75" x14ac:dyDescent="0.25">
      <c r="A45" s="59" t="s">
        <v>35</v>
      </c>
      <c r="B45" s="447" t="s">
        <v>144</v>
      </c>
      <c r="C45" s="60">
        <v>250000</v>
      </c>
      <c r="D45" s="60">
        <v>306828</v>
      </c>
      <c r="E45" s="60">
        <v>250000</v>
      </c>
      <c r="F45" s="60">
        <v>272000</v>
      </c>
      <c r="G45" s="60">
        <v>300000</v>
      </c>
      <c r="H45" s="60">
        <v>283735</v>
      </c>
      <c r="I45" s="60">
        <f>H45+11685</f>
        <v>295420</v>
      </c>
      <c r="J45" s="60">
        <v>500000</v>
      </c>
      <c r="K45" s="60">
        <v>500000</v>
      </c>
      <c r="L45" s="60">
        <v>500000</v>
      </c>
      <c r="M45" s="60">
        <f t="shared" si="3"/>
        <v>169.25055852684315</v>
      </c>
      <c r="N45" s="59"/>
      <c r="O45" s="60">
        <v>500000</v>
      </c>
      <c r="P45" s="60">
        <v>161829</v>
      </c>
      <c r="Q45" s="60">
        <v>184074</v>
      </c>
      <c r="R45" s="60">
        <v>250000</v>
      </c>
      <c r="S45" s="60">
        <v>470185</v>
      </c>
      <c r="T45" s="60">
        <v>236189</v>
      </c>
      <c r="U45" s="60">
        <f>250000+250000-250000</f>
        <v>250000</v>
      </c>
      <c r="V45" s="124">
        <f t="shared" si="4"/>
        <v>250000</v>
      </c>
      <c r="W45" s="124">
        <f t="shared" si="5"/>
        <v>250000</v>
      </c>
      <c r="X45" s="123">
        <f t="shared" si="18"/>
        <v>94.4756</v>
      </c>
      <c r="Y45" s="59"/>
      <c r="Z45" s="207">
        <f t="shared" si="6"/>
        <v>1.0584743574002176</v>
      </c>
      <c r="AA45" s="124">
        <f t="shared" si="7"/>
        <v>250000</v>
      </c>
      <c r="AB45" s="60">
        <v>126215</v>
      </c>
      <c r="AC45" s="60">
        <v>158325</v>
      </c>
      <c r="AD45" s="60">
        <v>166815</v>
      </c>
      <c r="AE45" s="123">
        <f t="shared" si="23"/>
        <v>66.725999999999999</v>
      </c>
      <c r="AF45" s="60">
        <v>250000</v>
      </c>
      <c r="AG45" s="60">
        <v>182465</v>
      </c>
      <c r="AH45" s="217">
        <f t="shared" si="24"/>
        <v>199052.72727272726</v>
      </c>
      <c r="AI45" s="60">
        <v>250000</v>
      </c>
      <c r="AJ45" s="60"/>
      <c r="AK45" s="124">
        <f t="shared" si="9"/>
        <v>250000</v>
      </c>
      <c r="AL45" s="59"/>
      <c r="AM45" s="348">
        <v>235930</v>
      </c>
      <c r="AN45" s="350">
        <v>250000</v>
      </c>
      <c r="AO45" s="356">
        <v>114841</v>
      </c>
      <c r="AP45" s="60">
        <v>250000</v>
      </c>
      <c r="AQ45" s="65">
        <v>172581</v>
      </c>
      <c r="AR45" s="69">
        <f t="shared" si="14"/>
        <v>77419</v>
      </c>
      <c r="AS45" s="54">
        <f t="shared" si="19"/>
        <v>69.03240000000001</v>
      </c>
      <c r="AT45" s="423">
        <v>188787</v>
      </c>
      <c r="AU45" s="124">
        <f>AP45-AT45</f>
        <v>61213</v>
      </c>
      <c r="AV45" s="59">
        <f>AU45/AP45*100</f>
        <v>24.485199999999999</v>
      </c>
      <c r="AW45" s="124">
        <v>250000</v>
      </c>
      <c r="AX45" s="60">
        <f t="shared" si="25"/>
        <v>270000</v>
      </c>
      <c r="AY45" s="124">
        <f t="shared" si="11"/>
        <v>270000</v>
      </c>
      <c r="AZ45" s="60">
        <v>250000</v>
      </c>
      <c r="BA45" s="60">
        <v>270000</v>
      </c>
      <c r="BB45" s="60">
        <v>250000</v>
      </c>
      <c r="BC45" s="60">
        <v>250000</v>
      </c>
      <c r="BD45" s="60">
        <v>41415</v>
      </c>
      <c r="BE45" s="60">
        <v>123816</v>
      </c>
      <c r="BF45" s="60">
        <v>132251</v>
      </c>
      <c r="BG45" s="124">
        <f t="shared" si="26"/>
        <v>144273.81818181818</v>
      </c>
      <c r="BH45" s="217">
        <v>250000</v>
      </c>
      <c r="BI45" s="60">
        <v>250000</v>
      </c>
      <c r="BJ45" s="60">
        <v>177970</v>
      </c>
      <c r="BK45" s="60">
        <v>295155</v>
      </c>
      <c r="BL45" s="60">
        <v>250000</v>
      </c>
      <c r="BM45" s="124">
        <v>200000</v>
      </c>
      <c r="BN45" s="124">
        <v>200000</v>
      </c>
      <c r="BO45" s="643">
        <v>639086</v>
      </c>
      <c r="BP45" s="643">
        <f t="shared" si="27"/>
        <v>766903.2</v>
      </c>
      <c r="BQ45" s="124">
        <f t="shared" si="28"/>
        <v>843593.52</v>
      </c>
      <c r="BR45" s="60">
        <v>250000</v>
      </c>
      <c r="BS45" s="60">
        <v>250000</v>
      </c>
      <c r="BT45" s="217">
        <v>250000</v>
      </c>
      <c r="BU45" s="815">
        <v>400000</v>
      </c>
      <c r="BV45" s="824">
        <v>300000</v>
      </c>
      <c r="BW45"/>
      <c r="BX45" s="719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</row>
    <row r="46" spans="1:103" s="39" customFormat="1" ht="15.75" x14ac:dyDescent="0.25">
      <c r="A46" s="59" t="s">
        <v>36</v>
      </c>
      <c r="B46" s="447" t="s">
        <v>145</v>
      </c>
      <c r="C46" s="60">
        <v>0</v>
      </c>
      <c r="D46" s="60">
        <v>0</v>
      </c>
      <c r="E46" s="60">
        <v>0</v>
      </c>
      <c r="F46" s="60">
        <v>290822</v>
      </c>
      <c r="G46" s="60">
        <v>600000</v>
      </c>
      <c r="H46" s="60">
        <v>306049</v>
      </c>
      <c r="I46" s="60">
        <f>H46+90385</f>
        <v>396434</v>
      </c>
      <c r="J46" s="60">
        <v>0</v>
      </c>
      <c r="K46" s="60">
        <v>396434</v>
      </c>
      <c r="L46" s="60">
        <v>396434</v>
      </c>
      <c r="M46" s="60">
        <f t="shared" si="3"/>
        <v>100</v>
      </c>
      <c r="N46" s="59"/>
      <c r="O46" s="60">
        <v>396434</v>
      </c>
      <c r="P46" s="60">
        <v>206273</v>
      </c>
      <c r="Q46" s="60">
        <v>223296</v>
      </c>
      <c r="R46" s="60"/>
      <c r="S46" s="60">
        <v>334156</v>
      </c>
      <c r="T46" s="60">
        <v>334156</v>
      </c>
      <c r="U46" s="60">
        <v>250000</v>
      </c>
      <c r="V46" s="124">
        <f t="shared" si="4"/>
        <v>250000</v>
      </c>
      <c r="W46" s="124">
        <f t="shared" si="5"/>
        <v>250000</v>
      </c>
      <c r="X46" s="123">
        <f t="shared" si="18"/>
        <v>133.66239999999999</v>
      </c>
      <c r="Y46" s="59"/>
      <c r="Z46" s="207">
        <f t="shared" si="6"/>
        <v>0.74815355702127151</v>
      </c>
      <c r="AA46" s="124">
        <f t="shared" si="7"/>
        <v>250000</v>
      </c>
      <c r="AB46" s="60">
        <v>93624</v>
      </c>
      <c r="AC46" s="60">
        <v>206629</v>
      </c>
      <c r="AD46" s="60">
        <v>227889</v>
      </c>
      <c r="AE46" s="123">
        <f t="shared" si="23"/>
        <v>91.155600000000007</v>
      </c>
      <c r="AF46" s="60">
        <v>250000</v>
      </c>
      <c r="AG46" s="60"/>
      <c r="AH46" s="217">
        <f t="shared" si="24"/>
        <v>0</v>
      </c>
      <c r="AI46" s="60">
        <v>250000</v>
      </c>
      <c r="AJ46" s="60"/>
      <c r="AK46" s="124">
        <f t="shared" si="9"/>
        <v>250000</v>
      </c>
      <c r="AL46" s="59"/>
      <c r="AM46" s="348">
        <v>350862</v>
      </c>
      <c r="AN46" s="350">
        <v>250000</v>
      </c>
      <c r="AO46" s="356">
        <v>107840</v>
      </c>
      <c r="AP46" s="60">
        <v>250000</v>
      </c>
      <c r="AQ46" s="65">
        <v>191019</v>
      </c>
      <c r="AR46" s="69">
        <f t="shared" si="14"/>
        <v>58981</v>
      </c>
      <c r="AS46" s="54">
        <f t="shared" si="19"/>
        <v>76.407600000000002</v>
      </c>
      <c r="AT46" s="60">
        <v>191019</v>
      </c>
      <c r="AU46" s="124">
        <f>AP46-AT46</f>
        <v>58981</v>
      </c>
      <c r="AV46" s="59">
        <f>AU46/AP46*100</f>
        <v>23.592399999999998</v>
      </c>
      <c r="AW46" s="124">
        <v>250000</v>
      </c>
      <c r="AX46" s="60">
        <f t="shared" si="25"/>
        <v>270000</v>
      </c>
      <c r="AY46" s="124">
        <f t="shared" si="11"/>
        <v>270000</v>
      </c>
      <c r="AZ46" s="60">
        <v>0</v>
      </c>
      <c r="BA46" s="60">
        <v>270000</v>
      </c>
      <c r="BB46" s="60">
        <v>0</v>
      </c>
      <c r="BC46" s="60">
        <v>283885</v>
      </c>
      <c r="BD46" s="60">
        <v>283885</v>
      </c>
      <c r="BE46" s="60">
        <v>306875</v>
      </c>
      <c r="BF46" s="60">
        <v>330639</v>
      </c>
      <c r="BG46" s="124">
        <f t="shared" si="26"/>
        <v>360697.09090909088</v>
      </c>
      <c r="BH46" s="217">
        <v>250000</v>
      </c>
      <c r="BI46" s="60">
        <v>250000</v>
      </c>
      <c r="BJ46" s="60">
        <v>101549</v>
      </c>
      <c r="BK46" s="60">
        <v>173549</v>
      </c>
      <c r="BL46" s="60">
        <v>250000</v>
      </c>
      <c r="BM46" s="124">
        <v>0</v>
      </c>
      <c r="BN46" s="124">
        <v>0</v>
      </c>
      <c r="BO46" s="643"/>
      <c r="BP46" s="643">
        <f t="shared" si="27"/>
        <v>0</v>
      </c>
      <c r="BQ46" s="124">
        <f t="shared" si="28"/>
        <v>0</v>
      </c>
      <c r="BR46" s="60"/>
      <c r="BS46" s="60"/>
      <c r="BT46" s="217"/>
      <c r="BU46" s="815"/>
      <c r="BV46" s="825">
        <v>200000</v>
      </c>
      <c r="BW46"/>
      <c r="BX46" s="1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</row>
    <row r="47" spans="1:103" s="39" customFormat="1" ht="15.75" x14ac:dyDescent="0.25">
      <c r="A47" s="59" t="s">
        <v>488</v>
      </c>
      <c r="B47" s="447" t="s">
        <v>489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59"/>
      <c r="O47" s="60"/>
      <c r="P47" s="60"/>
      <c r="Q47" s="60"/>
      <c r="R47" s="60"/>
      <c r="S47" s="60"/>
      <c r="T47" s="60"/>
      <c r="U47" s="60"/>
      <c r="V47" s="124"/>
      <c r="W47" s="124"/>
      <c r="X47" s="123"/>
      <c r="Y47" s="59"/>
      <c r="Z47" s="207"/>
      <c r="AA47" s="124"/>
      <c r="AB47" s="60"/>
      <c r="AC47" s="60"/>
      <c r="AD47" s="60"/>
      <c r="AE47" s="123"/>
      <c r="AF47" s="60">
        <v>100000</v>
      </c>
      <c r="AG47" s="60"/>
      <c r="AH47" s="217"/>
      <c r="AI47" s="60"/>
      <c r="AJ47" s="60"/>
      <c r="AK47" s="124">
        <f t="shared" si="9"/>
        <v>0</v>
      </c>
      <c r="AL47" s="59"/>
      <c r="AM47" s="348"/>
      <c r="AN47" s="350"/>
      <c r="AO47" s="356"/>
      <c r="AP47" s="60"/>
      <c r="AQ47" s="65"/>
      <c r="AR47" s="69">
        <f t="shared" si="14"/>
        <v>0</v>
      </c>
      <c r="AS47" s="54"/>
      <c r="AT47" s="423"/>
      <c r="AU47" s="124"/>
      <c r="AV47" s="59"/>
      <c r="AW47" s="124">
        <f t="shared" si="10"/>
        <v>0</v>
      </c>
      <c r="AX47" s="60">
        <f t="shared" si="25"/>
        <v>0</v>
      </c>
      <c r="AY47" s="124">
        <f t="shared" si="11"/>
        <v>0</v>
      </c>
      <c r="AZ47" s="60">
        <v>0</v>
      </c>
      <c r="BA47" s="60">
        <v>0</v>
      </c>
      <c r="BB47" s="60"/>
      <c r="BC47" s="60">
        <v>50000</v>
      </c>
      <c r="BD47" s="60"/>
      <c r="BE47" s="60"/>
      <c r="BF47" s="60"/>
      <c r="BG47" s="124">
        <f t="shared" si="26"/>
        <v>0</v>
      </c>
      <c r="BH47" s="217">
        <v>0</v>
      </c>
      <c r="BI47" s="60"/>
      <c r="BJ47" s="55"/>
      <c r="BK47" s="60"/>
      <c r="BL47" s="60"/>
      <c r="BM47" s="124">
        <f t="shared" si="29"/>
        <v>0</v>
      </c>
      <c r="BN47" s="124">
        <f t="shared" si="29"/>
        <v>0</v>
      </c>
      <c r="BO47" s="643"/>
      <c r="BP47" s="643">
        <f t="shared" si="27"/>
        <v>0</v>
      </c>
      <c r="BQ47" s="124">
        <f t="shared" si="28"/>
        <v>0</v>
      </c>
      <c r="BR47" s="60"/>
      <c r="BS47" s="60"/>
      <c r="BT47" s="217"/>
      <c r="BU47" s="815"/>
      <c r="BV47" s="825"/>
      <c r="BW47"/>
      <c r="BX47" s="1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</row>
    <row r="48" spans="1:103" s="39" customFormat="1" ht="15.75" x14ac:dyDescent="0.25">
      <c r="A48" s="59" t="s">
        <v>228</v>
      </c>
      <c r="B48" s="447" t="s">
        <v>229</v>
      </c>
      <c r="C48" s="60"/>
      <c r="D48" s="60"/>
      <c r="E48" s="60"/>
      <c r="F48" s="60"/>
      <c r="G48" s="60">
        <v>1975000</v>
      </c>
      <c r="H48" s="60">
        <v>1974630</v>
      </c>
      <c r="I48" s="60">
        <f>H48+376496</f>
        <v>2351126</v>
      </c>
      <c r="J48" s="60"/>
      <c r="K48" s="60">
        <v>2351126</v>
      </c>
      <c r="L48" s="60">
        <v>2351126</v>
      </c>
      <c r="M48" s="60">
        <f t="shared" si="3"/>
        <v>100</v>
      </c>
      <c r="N48" s="59"/>
      <c r="O48" s="60">
        <v>2351126</v>
      </c>
      <c r="P48" s="60">
        <v>2238641</v>
      </c>
      <c r="Q48" s="60">
        <v>2361763</v>
      </c>
      <c r="R48" s="60"/>
      <c r="S48" s="60">
        <v>2787723</v>
      </c>
      <c r="T48" s="60">
        <v>2787723</v>
      </c>
      <c r="U48" s="60">
        <f>2800000</f>
        <v>2800000</v>
      </c>
      <c r="V48" s="124">
        <f t="shared" si="4"/>
        <v>2800000</v>
      </c>
      <c r="W48" s="124">
        <f t="shared" si="5"/>
        <v>2800000</v>
      </c>
      <c r="X48" s="123">
        <f t="shared" si="18"/>
        <v>99.561535714285711</v>
      </c>
      <c r="Y48" s="59"/>
      <c r="Z48" s="207">
        <f t="shared" si="6"/>
        <v>1.004403952616526</v>
      </c>
      <c r="AA48" s="124">
        <f t="shared" si="7"/>
        <v>2800000</v>
      </c>
      <c r="AB48" s="60">
        <v>939661</v>
      </c>
      <c r="AC48" s="60">
        <v>1690496</v>
      </c>
      <c r="AD48" s="60">
        <v>1845303</v>
      </c>
      <c r="AE48" s="123">
        <f t="shared" si="23"/>
        <v>65.903678571428571</v>
      </c>
      <c r="AF48" s="60">
        <v>2800000</v>
      </c>
      <c r="AG48" s="60">
        <v>2390555</v>
      </c>
      <c r="AH48" s="217">
        <f t="shared" si="24"/>
        <v>2607878.1818181816</v>
      </c>
      <c r="AI48" s="60">
        <v>2800000</v>
      </c>
      <c r="AJ48" s="60"/>
      <c r="AK48" s="124">
        <f t="shared" si="9"/>
        <v>2800000</v>
      </c>
      <c r="AL48" s="59"/>
      <c r="AM48" s="348">
        <v>3458900</v>
      </c>
      <c r="AN48" s="350">
        <v>2800000</v>
      </c>
      <c r="AO48" s="356">
        <v>1411577</v>
      </c>
      <c r="AP48" s="60">
        <v>2800000</v>
      </c>
      <c r="AQ48" s="65">
        <v>1995278</v>
      </c>
      <c r="AR48" s="69">
        <f t="shared" si="14"/>
        <v>804722</v>
      </c>
      <c r="AS48" s="54">
        <f t="shared" si="19"/>
        <v>71.259928571428574</v>
      </c>
      <c r="AT48" s="60">
        <v>2190286</v>
      </c>
      <c r="AU48" s="124">
        <f>AP48-AT48</f>
        <v>609714</v>
      </c>
      <c r="AV48" s="59">
        <f>AU48/AP48*100</f>
        <v>21.775500000000001</v>
      </c>
      <c r="AW48" s="124">
        <v>2800000</v>
      </c>
      <c r="AX48" s="60">
        <f t="shared" si="25"/>
        <v>3024000</v>
      </c>
      <c r="AY48" s="124">
        <f t="shared" si="11"/>
        <v>3024000</v>
      </c>
      <c r="AZ48" s="60">
        <v>340000</v>
      </c>
      <c r="BA48" s="60">
        <v>3024000</v>
      </c>
      <c r="BB48" s="60">
        <v>340000</v>
      </c>
      <c r="BC48" s="60">
        <v>1132549</v>
      </c>
      <c r="BD48" s="60">
        <v>1130436</v>
      </c>
      <c r="BE48" s="60">
        <v>1302416</v>
      </c>
      <c r="BF48" s="60">
        <v>1568671</v>
      </c>
      <c r="BG48" s="124">
        <f t="shared" si="26"/>
        <v>1711277.4545454546</v>
      </c>
      <c r="BH48" s="217">
        <v>1500000</v>
      </c>
      <c r="BI48" s="60">
        <v>2116921</v>
      </c>
      <c r="BJ48" s="60">
        <v>2116921</v>
      </c>
      <c r="BK48" s="60">
        <v>2699916</v>
      </c>
      <c r="BL48" s="60">
        <v>2116921</v>
      </c>
      <c r="BM48" s="124">
        <v>2500000</v>
      </c>
      <c r="BN48" s="124">
        <v>2500000</v>
      </c>
      <c r="BO48" s="643">
        <v>3806041</v>
      </c>
      <c r="BP48" s="643">
        <f t="shared" si="27"/>
        <v>4567249.1999999993</v>
      </c>
      <c r="BQ48" s="124">
        <f t="shared" si="28"/>
        <v>5023974.1199999992</v>
      </c>
      <c r="BR48" s="60">
        <v>2500000</v>
      </c>
      <c r="BS48" s="60">
        <v>2500000</v>
      </c>
      <c r="BT48" s="217">
        <v>2500000</v>
      </c>
      <c r="BU48" s="815">
        <v>4000000</v>
      </c>
      <c r="BV48" s="824">
        <v>2500000</v>
      </c>
      <c r="BW48"/>
      <c r="BX48" s="1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</row>
    <row r="49" spans="1:103" s="39" customFormat="1" ht="15.75" x14ac:dyDescent="0.25">
      <c r="A49" s="59" t="s">
        <v>255</v>
      </c>
      <c r="B49" s="447" t="s">
        <v>256</v>
      </c>
      <c r="C49" s="60"/>
      <c r="D49" s="60"/>
      <c r="E49" s="60"/>
      <c r="F49" s="60"/>
      <c r="G49" s="60"/>
      <c r="H49" s="60"/>
      <c r="I49" s="60">
        <f t="shared" si="2"/>
        <v>0</v>
      </c>
      <c r="J49" s="60"/>
      <c r="K49" s="60"/>
      <c r="L49" s="60"/>
      <c r="M49" s="60">
        <f t="shared" si="3"/>
        <v>0</v>
      </c>
      <c r="N49" s="59"/>
      <c r="O49" s="60"/>
      <c r="P49" s="60"/>
      <c r="Q49" s="60"/>
      <c r="R49" s="60"/>
      <c r="S49" s="60"/>
      <c r="T49" s="60"/>
      <c r="U49" s="60"/>
      <c r="V49" s="124">
        <f t="shared" si="4"/>
        <v>0</v>
      </c>
      <c r="W49" s="124">
        <f t="shared" si="5"/>
        <v>0</v>
      </c>
      <c r="X49" s="123"/>
      <c r="Y49" s="59"/>
      <c r="Z49" s="207" t="e">
        <f t="shared" si="6"/>
        <v>#DIV/0!</v>
      </c>
      <c r="AA49" s="124">
        <f t="shared" si="7"/>
        <v>0</v>
      </c>
      <c r="AB49" s="60"/>
      <c r="AC49" s="60"/>
      <c r="AD49" s="60"/>
      <c r="AE49" s="123"/>
      <c r="AF49" s="60"/>
      <c r="AG49" s="60"/>
      <c r="AH49" s="217">
        <f t="shared" si="24"/>
        <v>0</v>
      </c>
      <c r="AI49" s="60"/>
      <c r="AJ49" s="60"/>
      <c r="AK49" s="124">
        <f t="shared" si="9"/>
        <v>0</v>
      </c>
      <c r="AL49" s="59"/>
      <c r="AM49" s="348"/>
      <c r="AN49" s="350"/>
      <c r="AO49" s="356"/>
      <c r="AP49" s="60"/>
      <c r="AQ49" s="65"/>
      <c r="AR49" s="69">
        <f t="shared" si="14"/>
        <v>0</v>
      </c>
      <c r="AS49" s="54"/>
      <c r="AT49" s="60"/>
      <c r="AU49" s="124"/>
      <c r="AV49" s="59"/>
      <c r="AW49" s="124">
        <f t="shared" si="10"/>
        <v>0</v>
      </c>
      <c r="AX49" s="60">
        <f t="shared" si="25"/>
        <v>0</v>
      </c>
      <c r="AY49" s="124">
        <f t="shared" si="11"/>
        <v>0</v>
      </c>
      <c r="AZ49" s="60"/>
      <c r="BA49" s="60">
        <v>0</v>
      </c>
      <c r="BB49" s="60"/>
      <c r="BC49" s="60"/>
      <c r="BD49" s="60"/>
      <c r="BE49" s="60"/>
      <c r="BF49" s="60"/>
      <c r="BG49" s="124">
        <f t="shared" si="26"/>
        <v>0</v>
      </c>
      <c r="BH49" s="217">
        <v>0</v>
      </c>
      <c r="BI49" s="60"/>
      <c r="BJ49" s="55"/>
      <c r="BK49" s="60"/>
      <c r="BL49" s="60"/>
      <c r="BM49" s="124">
        <f t="shared" si="29"/>
        <v>0</v>
      </c>
      <c r="BN49" s="124">
        <f t="shared" si="29"/>
        <v>0</v>
      </c>
      <c r="BO49" s="643"/>
      <c r="BP49" s="643">
        <f t="shared" si="27"/>
        <v>0</v>
      </c>
      <c r="BQ49" s="124">
        <f t="shared" si="28"/>
        <v>0</v>
      </c>
      <c r="BR49" s="60"/>
      <c r="BS49" s="60"/>
      <c r="BT49" s="217"/>
      <c r="BU49" s="815"/>
      <c r="BV49" s="825"/>
      <c r="BW49"/>
      <c r="BX49" s="1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</row>
    <row r="50" spans="1:103" s="39" customFormat="1" ht="15.75" x14ac:dyDescent="0.25">
      <c r="A50" s="59" t="s">
        <v>37</v>
      </c>
      <c r="B50" s="447" t="s">
        <v>146</v>
      </c>
      <c r="C50" s="60">
        <v>600000</v>
      </c>
      <c r="D50" s="60">
        <v>657058</v>
      </c>
      <c r="E50" s="60">
        <v>500000</v>
      </c>
      <c r="F50" s="60">
        <v>232603</v>
      </c>
      <c r="G50" s="60">
        <v>500000</v>
      </c>
      <c r="H50" s="60">
        <v>232603</v>
      </c>
      <c r="I50" s="60">
        <v>232603</v>
      </c>
      <c r="J50" s="60">
        <v>500000</v>
      </c>
      <c r="K50" s="60">
        <v>500000</v>
      </c>
      <c r="L50" s="60">
        <v>500000</v>
      </c>
      <c r="M50" s="60">
        <f t="shared" si="3"/>
        <v>214.9585344986952</v>
      </c>
      <c r="N50" s="59"/>
      <c r="O50" s="60">
        <v>500000</v>
      </c>
      <c r="P50" s="60">
        <v>404525</v>
      </c>
      <c r="Q50" s="60">
        <v>404525</v>
      </c>
      <c r="R50" s="60">
        <v>500000</v>
      </c>
      <c r="S50" s="60">
        <v>404525</v>
      </c>
      <c r="T50" s="60">
        <v>404525</v>
      </c>
      <c r="U50" s="60">
        <v>500000</v>
      </c>
      <c r="V50" s="124">
        <f t="shared" si="4"/>
        <v>500000</v>
      </c>
      <c r="W50" s="151">
        <v>450000</v>
      </c>
      <c r="X50" s="123">
        <f t="shared" si="18"/>
        <v>80.905000000000001</v>
      </c>
      <c r="Y50" s="59"/>
      <c r="Z50" s="207">
        <f t="shared" si="6"/>
        <v>1.1124157963043075</v>
      </c>
      <c r="AA50" s="124">
        <f t="shared" si="7"/>
        <v>450000</v>
      </c>
      <c r="AB50" s="60">
        <v>0</v>
      </c>
      <c r="AC50" s="60">
        <v>0</v>
      </c>
      <c r="AD50" s="60"/>
      <c r="AE50" s="123">
        <f t="shared" si="23"/>
        <v>0</v>
      </c>
      <c r="AF50" s="60">
        <v>450000</v>
      </c>
      <c r="AG50" s="60"/>
      <c r="AH50" s="217">
        <f t="shared" si="24"/>
        <v>0</v>
      </c>
      <c r="AI50" s="60">
        <v>500000</v>
      </c>
      <c r="AJ50" s="60"/>
      <c r="AK50" s="124">
        <f t="shared" si="9"/>
        <v>500000</v>
      </c>
      <c r="AL50" s="59"/>
      <c r="AM50" s="348"/>
      <c r="AN50" s="350">
        <v>500000</v>
      </c>
      <c r="AO50" s="356"/>
      <c r="AP50" s="60">
        <v>500000</v>
      </c>
      <c r="AQ50" s="65"/>
      <c r="AR50" s="69">
        <f t="shared" si="14"/>
        <v>500000</v>
      </c>
      <c r="AS50" s="54">
        <f t="shared" si="19"/>
        <v>0</v>
      </c>
      <c r="AT50" s="423"/>
      <c r="AU50" s="124">
        <f>AP50-AT50</f>
        <v>500000</v>
      </c>
      <c r="AV50" s="59">
        <f>AU50/AP50*100</f>
        <v>100</v>
      </c>
      <c r="AW50" s="124">
        <f t="shared" si="10"/>
        <v>500000</v>
      </c>
      <c r="AX50" s="60">
        <f t="shared" si="25"/>
        <v>540000</v>
      </c>
      <c r="AY50" s="124">
        <f t="shared" si="11"/>
        <v>540000</v>
      </c>
      <c r="AZ50" s="60">
        <v>0</v>
      </c>
      <c r="BA50" s="60">
        <v>540000</v>
      </c>
      <c r="BB50" s="60">
        <v>0</v>
      </c>
      <c r="BC50" s="60">
        <v>23121</v>
      </c>
      <c r="BD50" s="60">
        <v>23121</v>
      </c>
      <c r="BE50" s="60">
        <v>23121</v>
      </c>
      <c r="BF50" s="60">
        <v>23121</v>
      </c>
      <c r="BG50" s="124">
        <f t="shared" si="26"/>
        <v>25222.909090909092</v>
      </c>
      <c r="BH50" s="217">
        <v>100000</v>
      </c>
      <c r="BI50" s="60">
        <v>353723</v>
      </c>
      <c r="BJ50" s="60">
        <v>353723</v>
      </c>
      <c r="BK50" s="60">
        <v>1192838</v>
      </c>
      <c r="BL50" s="60">
        <v>353723</v>
      </c>
      <c r="BM50" s="124">
        <v>1000000</v>
      </c>
      <c r="BN50" s="124">
        <v>1000000</v>
      </c>
      <c r="BO50" s="643">
        <v>1554436</v>
      </c>
      <c r="BP50" s="643">
        <f t="shared" si="27"/>
        <v>1865323.2000000002</v>
      </c>
      <c r="BQ50" s="124">
        <f t="shared" si="28"/>
        <v>2051855.5200000005</v>
      </c>
      <c r="BR50" s="60">
        <v>1000000</v>
      </c>
      <c r="BS50" s="60">
        <v>1000000</v>
      </c>
      <c r="BT50" s="217">
        <v>1000000</v>
      </c>
      <c r="BU50" s="815">
        <v>5206000</v>
      </c>
      <c r="BV50" s="825"/>
      <c r="BW50"/>
      <c r="BX50" s="1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</row>
    <row r="51" spans="1:103" s="39" customFormat="1" ht="15.75" x14ac:dyDescent="0.25">
      <c r="A51" s="59" t="s">
        <v>38</v>
      </c>
      <c r="B51" s="447" t="s">
        <v>147</v>
      </c>
      <c r="C51" s="60">
        <v>500000</v>
      </c>
      <c r="D51" s="60">
        <v>715063</v>
      </c>
      <c r="E51" s="60">
        <v>500000</v>
      </c>
      <c r="F51" s="60">
        <v>244265</v>
      </c>
      <c r="G51" s="60">
        <v>500000</v>
      </c>
      <c r="H51" s="60">
        <v>255655</v>
      </c>
      <c r="I51" s="60">
        <f>H51+500</f>
        <v>256155</v>
      </c>
      <c r="J51" s="60">
        <v>500000</v>
      </c>
      <c r="K51" s="60">
        <v>500000</v>
      </c>
      <c r="L51" s="60">
        <v>500000</v>
      </c>
      <c r="M51" s="60">
        <f t="shared" si="3"/>
        <v>195.19431594151979</v>
      </c>
      <c r="N51" s="59"/>
      <c r="O51" s="60">
        <v>500000</v>
      </c>
      <c r="P51" s="60">
        <v>422642</v>
      </c>
      <c r="Q51" s="60">
        <v>422642</v>
      </c>
      <c r="R51" s="60">
        <v>500000</v>
      </c>
      <c r="S51" s="60">
        <v>642568</v>
      </c>
      <c r="T51" s="60">
        <v>642568</v>
      </c>
      <c r="U51" s="60">
        <f>480000+500000</f>
        <v>980000</v>
      </c>
      <c r="V51" s="124">
        <f t="shared" si="4"/>
        <v>980000</v>
      </c>
      <c r="W51" s="151">
        <v>750000</v>
      </c>
      <c r="X51" s="123">
        <f t="shared" si="18"/>
        <v>65.568163265306126</v>
      </c>
      <c r="Y51" s="59"/>
      <c r="Z51" s="207">
        <f t="shared" si="6"/>
        <v>1.1671916435303344</v>
      </c>
      <c r="AA51" s="124">
        <f t="shared" si="7"/>
        <v>750000</v>
      </c>
      <c r="AB51" s="60">
        <v>366900</v>
      </c>
      <c r="AC51" s="60">
        <v>392550</v>
      </c>
      <c r="AD51" s="60">
        <v>420210</v>
      </c>
      <c r="AE51" s="123">
        <f t="shared" si="23"/>
        <v>56.027999999999999</v>
      </c>
      <c r="AF51" s="60">
        <v>750000</v>
      </c>
      <c r="AG51" s="60">
        <v>432245</v>
      </c>
      <c r="AH51" s="217">
        <f t="shared" si="24"/>
        <v>471540</v>
      </c>
      <c r="AI51" s="60">
        <v>980000</v>
      </c>
      <c r="AJ51" s="60"/>
      <c r="AK51" s="124">
        <f t="shared" si="9"/>
        <v>980000</v>
      </c>
      <c r="AL51" s="59"/>
      <c r="AM51" s="348">
        <v>952907</v>
      </c>
      <c r="AN51" s="350">
        <v>980000</v>
      </c>
      <c r="AO51" s="356">
        <v>290294</v>
      </c>
      <c r="AP51" s="60">
        <v>980000</v>
      </c>
      <c r="AQ51" s="65">
        <v>465744</v>
      </c>
      <c r="AR51" s="65">
        <v>465744</v>
      </c>
      <c r="AS51" s="65">
        <v>465744</v>
      </c>
      <c r="AT51" s="60">
        <v>465744</v>
      </c>
      <c r="AU51" s="124">
        <f>AP51-AT51</f>
        <v>514256</v>
      </c>
      <c r="AV51" s="59">
        <f>AU51/AP51*100</f>
        <v>52.475102040816324</v>
      </c>
      <c r="AW51" s="124">
        <v>980000</v>
      </c>
      <c r="AX51" s="60">
        <f t="shared" si="25"/>
        <v>1058400</v>
      </c>
      <c r="AY51" s="124">
        <f t="shared" si="11"/>
        <v>1058400</v>
      </c>
      <c r="AZ51" s="60">
        <v>0</v>
      </c>
      <c r="BA51" s="60">
        <v>1058400</v>
      </c>
      <c r="BB51" s="60">
        <v>0</v>
      </c>
      <c r="BC51" s="60">
        <v>104295</v>
      </c>
      <c r="BD51" s="60">
        <v>104295</v>
      </c>
      <c r="BE51" s="60">
        <v>104295</v>
      </c>
      <c r="BF51" s="60">
        <v>184228</v>
      </c>
      <c r="BG51" s="124">
        <f t="shared" si="26"/>
        <v>200976</v>
      </c>
      <c r="BH51" s="217">
        <v>400000</v>
      </c>
      <c r="BI51" s="60">
        <v>890678</v>
      </c>
      <c r="BJ51" s="60">
        <v>706973</v>
      </c>
      <c r="BK51" s="60">
        <v>957252</v>
      </c>
      <c r="BL51" s="60">
        <v>890678</v>
      </c>
      <c r="BM51" s="124">
        <v>1000000</v>
      </c>
      <c r="BN51" s="124">
        <v>1000000</v>
      </c>
      <c r="BO51" s="643">
        <v>45210</v>
      </c>
      <c r="BP51" s="643">
        <f t="shared" si="27"/>
        <v>54252</v>
      </c>
      <c r="BQ51" s="124">
        <f t="shared" si="28"/>
        <v>59677.200000000004</v>
      </c>
      <c r="BR51" s="60">
        <v>450000</v>
      </c>
      <c r="BS51" s="60">
        <v>450000</v>
      </c>
      <c r="BT51" s="217">
        <v>450000</v>
      </c>
      <c r="BU51" s="815">
        <v>1100000</v>
      </c>
      <c r="BV51" s="824">
        <v>1000000</v>
      </c>
      <c r="BW51"/>
      <c r="BX51" s="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</row>
    <row r="52" spans="1:103" s="39" customFormat="1" ht="15.75" x14ac:dyDescent="0.25">
      <c r="A52" s="59" t="s">
        <v>597</v>
      </c>
      <c r="B52" s="59" t="s">
        <v>148</v>
      </c>
      <c r="C52" s="60">
        <v>7981614</v>
      </c>
      <c r="D52" s="60">
        <v>7615762</v>
      </c>
      <c r="E52" s="60">
        <v>8503305.6799999997</v>
      </c>
      <c r="F52" s="60">
        <v>7260551</v>
      </c>
      <c r="G52" s="60">
        <v>8503305.6799999997</v>
      </c>
      <c r="H52" s="60">
        <v>8115856</v>
      </c>
      <c r="I52" s="60">
        <f>H52+1040258</f>
        <v>9156114</v>
      </c>
      <c r="J52" s="60">
        <v>9178261</v>
      </c>
      <c r="K52" s="60">
        <v>9214231.1199999992</v>
      </c>
      <c r="L52" s="60" t="e">
        <f>9178261+35970-388245+#REF!-509109+#REF!</f>
        <v>#REF!</v>
      </c>
      <c r="M52" s="60" t="e">
        <f t="shared" si="3"/>
        <v>#REF!</v>
      </c>
      <c r="N52" s="59"/>
      <c r="O52" s="60">
        <v>9214231</v>
      </c>
      <c r="P52" s="60">
        <v>6684611</v>
      </c>
      <c r="Q52" s="60">
        <v>7357951</v>
      </c>
      <c r="R52" s="60">
        <f>10844091.3711+338616*0.195</f>
        <v>10910121.491099998</v>
      </c>
      <c r="S52" s="60">
        <v>8942974</v>
      </c>
      <c r="T52" s="60">
        <v>8942974</v>
      </c>
      <c r="U52" s="60">
        <f>10664817-49039402*0.15+49039402*0.15</f>
        <v>10664817</v>
      </c>
      <c r="V52" s="124">
        <f t="shared" si="4"/>
        <v>10664817</v>
      </c>
      <c r="W52" s="150">
        <f t="shared" si="5"/>
        <v>10664817</v>
      </c>
      <c r="X52" s="123">
        <f t="shared" si="18"/>
        <v>83.854922217605804</v>
      </c>
      <c r="Y52" s="59"/>
      <c r="Z52" s="207">
        <f t="shared" si="6"/>
        <v>1.1925358387489442</v>
      </c>
      <c r="AA52" s="124">
        <f t="shared" si="7"/>
        <v>10664817</v>
      </c>
      <c r="AB52" s="60">
        <v>5395103</v>
      </c>
      <c r="AC52" s="60">
        <v>7181132</v>
      </c>
      <c r="AD52" s="60"/>
      <c r="AE52" s="123">
        <f t="shared" si="23"/>
        <v>0</v>
      </c>
      <c r="AF52" s="60"/>
      <c r="AG52" s="60"/>
      <c r="AH52" s="217">
        <f t="shared" si="24"/>
        <v>0</v>
      </c>
      <c r="AI52" s="60">
        <v>10664817</v>
      </c>
      <c r="AJ52" s="60"/>
      <c r="AK52" s="124">
        <v>9771209</v>
      </c>
      <c r="AL52" s="59"/>
      <c r="AM52" s="348">
        <v>11062562</v>
      </c>
      <c r="AN52" s="350">
        <v>10408937</v>
      </c>
      <c r="AO52" s="356">
        <v>5157252</v>
      </c>
      <c r="AP52" s="60">
        <v>10408937</v>
      </c>
      <c r="AQ52" s="65">
        <v>7187391</v>
      </c>
      <c r="AR52" s="69">
        <f t="shared" si="14"/>
        <v>3221546</v>
      </c>
      <c r="AS52" s="54">
        <f t="shared" si="19"/>
        <v>69.050192156989709</v>
      </c>
      <c r="AT52" s="60">
        <v>8298656</v>
      </c>
      <c r="AU52" s="124">
        <f>AP52-AT52</f>
        <v>2110281</v>
      </c>
      <c r="AV52" s="59">
        <f>AU52/AP52*100</f>
        <v>20.273741689473191</v>
      </c>
      <c r="AW52" s="124">
        <v>10408937</v>
      </c>
      <c r="AX52" s="60">
        <f t="shared" si="25"/>
        <v>11241651.960000001</v>
      </c>
      <c r="AY52" s="124">
        <f t="shared" si="11"/>
        <v>11241651.960000001</v>
      </c>
      <c r="AZ52" s="60">
        <v>10480942</v>
      </c>
      <c r="BA52" s="60">
        <v>11241651.960000001</v>
      </c>
      <c r="BB52" s="60">
        <v>10480942</v>
      </c>
      <c r="BC52" s="60">
        <v>10480942</v>
      </c>
      <c r="BD52" s="60">
        <v>5596090</v>
      </c>
      <c r="BE52" s="60">
        <v>7036248</v>
      </c>
      <c r="BF52" s="60">
        <v>7819013</v>
      </c>
      <c r="BG52" s="124">
        <f t="shared" si="26"/>
        <v>8529832.3636363633</v>
      </c>
      <c r="BH52" s="217">
        <v>9300000</v>
      </c>
      <c r="BI52" s="60">
        <v>9300000</v>
      </c>
      <c r="BJ52" s="60">
        <v>5110772</v>
      </c>
      <c r="BK52" s="60">
        <v>8082591</v>
      </c>
      <c r="BL52" s="60">
        <v>9300000</v>
      </c>
      <c r="BM52" s="124">
        <f>SUM(BM39:BM51)*0.13</f>
        <v>11742819.01</v>
      </c>
      <c r="BN52" s="124">
        <f>SUM(BN39:BN51)*0.13</f>
        <v>11742819.01</v>
      </c>
      <c r="BO52" s="643">
        <v>9381314</v>
      </c>
      <c r="BP52" s="643">
        <f t="shared" si="27"/>
        <v>11257576.800000001</v>
      </c>
      <c r="BQ52" s="124">
        <f t="shared" si="28"/>
        <v>12383334.480000002</v>
      </c>
      <c r="BR52" s="60">
        <f>(BR39+BR40+BR43+BR45+BR48+BR50+BR51)*0.13</f>
        <v>12919387</v>
      </c>
      <c r="BS52" s="60">
        <f>(BS39+BS40+BS43+BS45+BS48+BS50+BS51)*0.13</f>
        <v>12919387</v>
      </c>
      <c r="BT52" s="217">
        <f>(BT39+BT40+BT43+BT45+BT48+BT50+BT51)*0.13</f>
        <v>12919387</v>
      </c>
      <c r="BU52" s="815">
        <v>14000000</v>
      </c>
      <c r="BV52" s="825">
        <v>13276178</v>
      </c>
      <c r="BW52"/>
      <c r="BX52" s="1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</row>
    <row r="53" spans="1:103" s="39" customFormat="1" ht="15.75" x14ac:dyDescent="0.25">
      <c r="A53" s="59" t="s">
        <v>40</v>
      </c>
      <c r="B53" s="59" t="s">
        <v>149</v>
      </c>
      <c r="C53" s="60">
        <v>245540</v>
      </c>
      <c r="D53" s="60">
        <v>235582</v>
      </c>
      <c r="E53" s="60">
        <v>294648</v>
      </c>
      <c r="F53" s="60">
        <v>377919</v>
      </c>
      <c r="G53" s="60">
        <v>294648</v>
      </c>
      <c r="H53" s="60">
        <v>393378</v>
      </c>
      <c r="I53" s="60">
        <f>H53+12632</f>
        <v>406010</v>
      </c>
      <c r="J53" s="60">
        <v>320008</v>
      </c>
      <c r="K53" s="60">
        <v>320008</v>
      </c>
      <c r="L53" s="60">
        <v>320008</v>
      </c>
      <c r="M53" s="60">
        <f t="shared" si="3"/>
        <v>78.817763109283021</v>
      </c>
      <c r="N53" s="59"/>
      <c r="O53" s="60">
        <v>320008</v>
      </c>
      <c r="P53" s="60">
        <v>318223</v>
      </c>
      <c r="Q53" s="60">
        <v>337177</v>
      </c>
      <c r="R53" s="60">
        <v>320008</v>
      </c>
      <c r="S53" s="60">
        <v>418978</v>
      </c>
      <c r="T53" s="60">
        <v>418978</v>
      </c>
      <c r="U53" s="60">
        <v>320008</v>
      </c>
      <c r="V53" s="124">
        <f t="shared" si="4"/>
        <v>320008</v>
      </c>
      <c r="W53" s="124">
        <f t="shared" si="5"/>
        <v>320008</v>
      </c>
      <c r="X53" s="123">
        <f t="shared" si="18"/>
        <v>130.92735181620458</v>
      </c>
      <c r="Y53" s="59"/>
      <c r="Z53" s="207">
        <f t="shared" si="6"/>
        <v>0.76378234656712285</v>
      </c>
      <c r="AA53" s="124">
        <f t="shared" si="7"/>
        <v>320008</v>
      </c>
      <c r="AB53" s="60">
        <v>21359</v>
      </c>
      <c r="AC53" s="60">
        <v>21359</v>
      </c>
      <c r="AD53" s="60"/>
      <c r="AE53" s="123">
        <f t="shared" si="23"/>
        <v>0</v>
      </c>
      <c r="AF53" s="60"/>
      <c r="AG53" s="60"/>
      <c r="AH53" s="217">
        <f t="shared" si="24"/>
        <v>0</v>
      </c>
      <c r="AI53" s="60">
        <v>320008</v>
      </c>
      <c r="AJ53" s="60"/>
      <c r="AK53" s="124">
        <v>343395</v>
      </c>
      <c r="AL53" s="59"/>
      <c r="AM53" s="348">
        <v>21359</v>
      </c>
      <c r="AN53" s="350"/>
      <c r="AO53" s="356"/>
      <c r="AP53" s="60"/>
      <c r="AQ53" s="65"/>
      <c r="AR53" s="69">
        <f t="shared" si="14"/>
        <v>0</v>
      </c>
      <c r="AS53" s="54"/>
      <c r="AT53" s="60"/>
      <c r="AU53" s="124"/>
      <c r="AV53" s="59"/>
      <c r="AW53" s="124"/>
      <c r="AX53" s="60">
        <f t="shared" si="25"/>
        <v>0</v>
      </c>
      <c r="AY53" s="124">
        <f t="shared" si="11"/>
        <v>0</v>
      </c>
      <c r="AZ53" s="60"/>
      <c r="BA53" s="60">
        <v>0</v>
      </c>
      <c r="BB53" s="60"/>
      <c r="BC53" s="60"/>
      <c r="BD53" s="60"/>
      <c r="BE53" s="60"/>
      <c r="BF53" s="60"/>
      <c r="BG53" s="124">
        <f t="shared" si="26"/>
        <v>0</v>
      </c>
      <c r="BH53" s="217"/>
      <c r="BI53" s="60"/>
      <c r="BJ53" s="55"/>
      <c r="BK53" s="60"/>
      <c r="BL53" s="60"/>
      <c r="BM53" s="124">
        <f t="shared" si="29"/>
        <v>0</v>
      </c>
      <c r="BN53" s="124">
        <f t="shared" si="29"/>
        <v>0</v>
      </c>
      <c r="BO53" s="643"/>
      <c r="BP53" s="643">
        <f t="shared" si="27"/>
        <v>0</v>
      </c>
      <c r="BQ53" s="124">
        <f t="shared" si="28"/>
        <v>0</v>
      </c>
      <c r="BR53" s="60"/>
      <c r="BS53" s="60"/>
      <c r="BT53" s="217"/>
      <c r="BU53" s="815"/>
      <c r="BV53" s="825"/>
      <c r="BW53"/>
      <c r="BX53" s="1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</row>
    <row r="54" spans="1:103" s="39" customFormat="1" ht="15.75" x14ac:dyDescent="0.25">
      <c r="A54" s="59" t="s">
        <v>41</v>
      </c>
      <c r="B54" s="59" t="s">
        <v>150</v>
      </c>
      <c r="C54" s="60">
        <v>0</v>
      </c>
      <c r="D54" s="60">
        <v>0</v>
      </c>
      <c r="E54" s="60">
        <v>0</v>
      </c>
      <c r="F54" s="60">
        <v>108598</v>
      </c>
      <c r="G54" s="60">
        <v>0</v>
      </c>
      <c r="H54" s="60">
        <v>120098</v>
      </c>
      <c r="I54" s="60">
        <f>H54</f>
        <v>120098</v>
      </c>
      <c r="J54" s="60">
        <v>0</v>
      </c>
      <c r="K54" s="60">
        <v>0</v>
      </c>
      <c r="L54" s="60">
        <v>0</v>
      </c>
      <c r="M54" s="60">
        <f t="shared" si="3"/>
        <v>0</v>
      </c>
      <c r="N54" s="59"/>
      <c r="O54" s="60"/>
      <c r="P54" s="60">
        <v>299533</v>
      </c>
      <c r="Q54" s="60">
        <v>329202</v>
      </c>
      <c r="R54" s="60"/>
      <c r="S54" s="60">
        <v>473225</v>
      </c>
      <c r="T54" s="60">
        <v>473225</v>
      </c>
      <c r="U54" s="60"/>
      <c r="V54" s="124">
        <f t="shared" si="4"/>
        <v>0</v>
      </c>
      <c r="W54" s="124">
        <f t="shared" si="5"/>
        <v>0</v>
      </c>
      <c r="X54" s="123"/>
      <c r="Y54" s="59"/>
      <c r="Z54" s="207">
        <f t="shared" si="6"/>
        <v>0</v>
      </c>
      <c r="AA54" s="124">
        <f t="shared" si="7"/>
        <v>0</v>
      </c>
      <c r="AB54" s="60"/>
      <c r="AC54" s="60"/>
      <c r="AD54" s="60"/>
      <c r="AE54" s="123"/>
      <c r="AF54" s="60"/>
      <c r="AG54" s="60"/>
      <c r="AH54" s="217">
        <f t="shared" si="24"/>
        <v>0</v>
      </c>
      <c r="AI54" s="60">
        <v>0</v>
      </c>
      <c r="AJ54" s="60"/>
      <c r="AK54" s="124">
        <f t="shared" si="9"/>
        <v>0</v>
      </c>
      <c r="AL54" s="59"/>
      <c r="AM54" s="348">
        <v>5343</v>
      </c>
      <c r="AN54" s="350"/>
      <c r="AO54" s="356"/>
      <c r="AP54" s="60"/>
      <c r="AQ54" s="65"/>
      <c r="AR54" s="69">
        <f t="shared" si="14"/>
        <v>0</v>
      </c>
      <c r="AS54" s="54"/>
      <c r="AT54" s="60"/>
      <c r="AU54" s="124"/>
      <c r="AV54" s="59"/>
      <c r="AW54" s="124">
        <f t="shared" si="10"/>
        <v>0</v>
      </c>
      <c r="AX54" s="60">
        <f t="shared" si="25"/>
        <v>0</v>
      </c>
      <c r="AY54" s="124">
        <f t="shared" si="11"/>
        <v>0</v>
      </c>
      <c r="AZ54" s="60"/>
      <c r="BA54" s="60">
        <v>0</v>
      </c>
      <c r="BB54" s="60"/>
      <c r="BC54" s="60"/>
      <c r="BD54" s="60"/>
      <c r="BE54" s="60"/>
      <c r="BF54" s="60"/>
      <c r="BG54" s="124">
        <f t="shared" si="26"/>
        <v>0</v>
      </c>
      <c r="BH54" s="217"/>
      <c r="BI54" s="60"/>
      <c r="BJ54" s="55"/>
      <c r="BK54" s="60"/>
      <c r="BL54" s="60"/>
      <c r="BM54" s="124">
        <f t="shared" si="29"/>
        <v>0</v>
      </c>
      <c r="BN54" s="124"/>
      <c r="BO54" s="643"/>
      <c r="BP54" s="643">
        <f t="shared" si="27"/>
        <v>0</v>
      </c>
      <c r="BQ54" s="124">
        <f t="shared" si="28"/>
        <v>0</v>
      </c>
      <c r="BR54" s="60"/>
      <c r="BS54" s="60"/>
      <c r="BT54" s="217"/>
      <c r="BU54" s="815"/>
      <c r="BV54" s="825"/>
      <c r="BW54"/>
      <c r="BX54" s="1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</row>
    <row r="55" spans="1:103" s="39" customFormat="1" ht="15.75" x14ac:dyDescent="0.25">
      <c r="A55" s="59" t="s">
        <v>42</v>
      </c>
      <c r="B55" s="59" t="s">
        <v>151</v>
      </c>
      <c r="C55" s="60">
        <v>307620</v>
      </c>
      <c r="D55" s="60">
        <v>235813</v>
      </c>
      <c r="E55" s="60">
        <v>336744</v>
      </c>
      <c r="F55" s="60">
        <v>374112</v>
      </c>
      <c r="G55" s="60">
        <v>336744</v>
      </c>
      <c r="H55" s="60">
        <v>389521</v>
      </c>
      <c r="I55" s="60">
        <f>H55+13482</f>
        <v>403003</v>
      </c>
      <c r="J55" s="60">
        <v>342875</v>
      </c>
      <c r="K55" s="60">
        <v>342875</v>
      </c>
      <c r="L55" s="60">
        <v>342875</v>
      </c>
      <c r="M55" s="60">
        <f t="shared" si="3"/>
        <v>85.080011811326457</v>
      </c>
      <c r="N55" s="59"/>
      <c r="O55" s="60">
        <v>342875</v>
      </c>
      <c r="P55" s="60">
        <v>323443</v>
      </c>
      <c r="Q55" s="60">
        <v>343149</v>
      </c>
      <c r="R55" s="60">
        <v>342875</v>
      </c>
      <c r="S55" s="60">
        <v>415494</v>
      </c>
      <c r="T55" s="60">
        <v>415494</v>
      </c>
      <c r="U55" s="60">
        <v>342875</v>
      </c>
      <c r="V55" s="124">
        <f t="shared" si="4"/>
        <v>342875</v>
      </c>
      <c r="W55" s="124">
        <f t="shared" si="5"/>
        <v>342875</v>
      </c>
      <c r="X55" s="123">
        <f t="shared" si="18"/>
        <v>121.17943857090776</v>
      </c>
      <c r="Y55" s="59"/>
      <c r="Z55" s="207">
        <f t="shared" si="6"/>
        <v>0.82522250622150983</v>
      </c>
      <c r="AA55" s="124">
        <f t="shared" si="7"/>
        <v>342875</v>
      </c>
      <c r="AB55" s="60">
        <v>266907</v>
      </c>
      <c r="AC55" s="60">
        <v>271447</v>
      </c>
      <c r="AD55" s="60"/>
      <c r="AE55" s="123">
        <f t="shared" si="23"/>
        <v>0</v>
      </c>
      <c r="AF55" s="60"/>
      <c r="AG55" s="60">
        <v>285908</v>
      </c>
      <c r="AH55" s="217">
        <f t="shared" si="24"/>
        <v>311899.63636363635</v>
      </c>
      <c r="AI55" s="60">
        <v>342875</v>
      </c>
      <c r="AJ55" s="60"/>
      <c r="AK55" s="124">
        <v>294333</v>
      </c>
      <c r="AL55" s="59"/>
      <c r="AM55" s="348">
        <v>307265</v>
      </c>
      <c r="AN55" s="350"/>
      <c r="AO55" s="356"/>
      <c r="AP55" s="60"/>
      <c r="AQ55" s="65"/>
      <c r="AR55" s="69">
        <f t="shared" si="14"/>
        <v>0</v>
      </c>
      <c r="AS55" s="54"/>
      <c r="AT55" s="423"/>
      <c r="AU55" s="124"/>
      <c r="AV55" s="59"/>
      <c r="AW55" s="124"/>
      <c r="AX55" s="60">
        <f t="shared" si="25"/>
        <v>0</v>
      </c>
      <c r="AY55" s="124">
        <f t="shared" si="11"/>
        <v>0</v>
      </c>
      <c r="AZ55" s="60"/>
      <c r="BA55" s="60">
        <v>0</v>
      </c>
      <c r="BB55" s="511"/>
      <c r="BC55" s="511"/>
      <c r="BD55" s="511"/>
      <c r="BE55" s="511"/>
      <c r="BF55" s="511"/>
      <c r="BG55" s="124">
        <f t="shared" si="26"/>
        <v>0</v>
      </c>
      <c r="BH55" s="217"/>
      <c r="BI55" s="60"/>
      <c r="BJ55" s="55"/>
      <c r="BK55" s="60"/>
      <c r="BL55" s="60"/>
      <c r="BM55" s="124">
        <f t="shared" si="29"/>
        <v>0</v>
      </c>
      <c r="BN55" s="124"/>
      <c r="BO55" s="643"/>
      <c r="BP55" s="643">
        <f t="shared" si="27"/>
        <v>0</v>
      </c>
      <c r="BQ55" s="124">
        <f t="shared" si="28"/>
        <v>0</v>
      </c>
      <c r="BR55" s="60"/>
      <c r="BS55" s="60"/>
      <c r="BT55" s="217"/>
      <c r="BU55" s="815"/>
      <c r="BV55" s="805"/>
      <c r="BW55"/>
      <c r="BX55" s="1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</row>
    <row r="56" spans="1:103" x14ac:dyDescent="0.25">
      <c r="A56" s="54" t="s">
        <v>139</v>
      </c>
      <c r="B56" s="448" t="s">
        <v>230</v>
      </c>
      <c r="C56" s="65">
        <v>195273</v>
      </c>
      <c r="D56" s="65">
        <v>1016398</v>
      </c>
      <c r="E56" s="65">
        <v>198170</v>
      </c>
      <c r="F56" s="65">
        <v>233517</v>
      </c>
      <c r="G56" s="65">
        <v>233517</v>
      </c>
      <c r="H56" s="65">
        <v>233517</v>
      </c>
      <c r="I56" s="65">
        <f t="shared" si="2"/>
        <v>254745.81818181818</v>
      </c>
      <c r="J56" s="65">
        <v>500000</v>
      </c>
      <c r="K56" s="65">
        <v>500000</v>
      </c>
      <c r="L56" s="65">
        <v>500000</v>
      </c>
      <c r="M56" s="65">
        <f t="shared" si="3"/>
        <v>196.27407569184828</v>
      </c>
      <c r="N56" s="54"/>
      <c r="O56" s="65">
        <v>620000</v>
      </c>
      <c r="P56" s="65">
        <v>615770</v>
      </c>
      <c r="Q56" s="65">
        <v>615770</v>
      </c>
      <c r="R56" s="65">
        <f>L56</f>
        <v>500000</v>
      </c>
      <c r="S56" s="65">
        <v>820000</v>
      </c>
      <c r="T56" s="65">
        <v>753850</v>
      </c>
      <c r="U56" s="65">
        <v>500000</v>
      </c>
      <c r="V56" s="69">
        <f t="shared" si="4"/>
        <v>500000</v>
      </c>
      <c r="W56" s="69">
        <f t="shared" si="5"/>
        <v>500000</v>
      </c>
      <c r="X56" s="121">
        <f t="shared" si="18"/>
        <v>150.77000000000001</v>
      </c>
      <c r="Y56" s="54"/>
      <c r="Z56" s="210">
        <f t="shared" si="6"/>
        <v>0.66326192213305035</v>
      </c>
      <c r="AA56" s="69">
        <f t="shared" si="7"/>
        <v>500000</v>
      </c>
      <c r="AB56" s="65">
        <v>439073</v>
      </c>
      <c r="AC56" s="65">
        <v>611624</v>
      </c>
      <c r="AD56" s="65">
        <v>683994</v>
      </c>
      <c r="AE56" s="123">
        <f t="shared" si="23"/>
        <v>136.7988</v>
      </c>
      <c r="AF56" s="65">
        <v>500000</v>
      </c>
      <c r="AG56" s="65">
        <v>787923</v>
      </c>
      <c r="AH56" s="215">
        <f t="shared" ref="AH56:AH102" si="30">AG56/10*12</f>
        <v>945507.60000000009</v>
      </c>
      <c r="AI56" s="216">
        <f>AH56*1.02</f>
        <v>964417.75200000009</v>
      </c>
      <c r="AJ56" s="55"/>
      <c r="AK56" s="69">
        <f t="shared" si="9"/>
        <v>964417.75200000009</v>
      </c>
      <c r="AL56" s="54"/>
      <c r="AM56" s="347">
        <v>864893</v>
      </c>
      <c r="AN56" s="349">
        <v>764418</v>
      </c>
      <c r="AO56" s="354">
        <v>219659</v>
      </c>
      <c r="AP56" s="65">
        <v>564418</v>
      </c>
      <c r="AQ56" s="65">
        <v>403879</v>
      </c>
      <c r="AR56" s="69">
        <f t="shared" si="14"/>
        <v>160539</v>
      </c>
      <c r="AS56" s="54">
        <f t="shared" si="19"/>
        <v>71.556718602170733</v>
      </c>
      <c r="AT56" s="65">
        <v>470379</v>
      </c>
      <c r="AU56" s="69">
        <f>AP56-AT56</f>
        <v>94039</v>
      </c>
      <c r="AV56" s="54">
        <f>AU56/AP56*100</f>
        <v>16.66123334124709</v>
      </c>
      <c r="AW56" s="69">
        <v>964418</v>
      </c>
      <c r="AX56" s="69">
        <v>964418</v>
      </c>
      <c r="AY56" s="69">
        <f t="shared" si="11"/>
        <v>964418</v>
      </c>
      <c r="AZ56" s="55">
        <f t="shared" ref="AZ56:AZ72" si="31">AY56</f>
        <v>964418</v>
      </c>
      <c r="BA56" s="69">
        <f t="shared" ref="BA56:BA89" si="32">AZ56</f>
        <v>964418</v>
      </c>
      <c r="BB56" s="501">
        <v>964418</v>
      </c>
      <c r="BC56" s="501">
        <v>964418</v>
      </c>
      <c r="BD56" s="501">
        <v>415326</v>
      </c>
      <c r="BE56" s="501">
        <v>489926</v>
      </c>
      <c r="BF56" s="221">
        <v>632943</v>
      </c>
      <c r="BG56" s="365">
        <f t="shared" si="15"/>
        <v>759531.60000000009</v>
      </c>
      <c r="BH56" s="223">
        <f>BB56*1.08</f>
        <v>1041571.4400000001</v>
      </c>
      <c r="BI56" s="55">
        <v>991574</v>
      </c>
      <c r="BJ56" s="55">
        <v>459512</v>
      </c>
      <c r="BK56" s="65">
        <v>752191</v>
      </c>
      <c r="BL56" s="69">
        <f t="shared" si="12"/>
        <v>902629.20000000007</v>
      </c>
      <c r="BM56" s="69">
        <v>700000</v>
      </c>
      <c r="BN56" s="69">
        <v>700000</v>
      </c>
      <c r="BO56" s="576">
        <v>236222</v>
      </c>
      <c r="BP56" s="576">
        <f t="shared" si="17"/>
        <v>283466.40000000002</v>
      </c>
      <c r="BQ56" s="69">
        <f>BP56*1.1</f>
        <v>311813.04000000004</v>
      </c>
      <c r="BR56" s="55">
        <v>311813</v>
      </c>
      <c r="BS56" s="55">
        <v>311813</v>
      </c>
      <c r="BT56" s="223">
        <v>311813</v>
      </c>
      <c r="BU56" s="223">
        <v>25000</v>
      </c>
      <c r="BV56" s="347">
        <v>80000</v>
      </c>
    </row>
    <row r="57" spans="1:103" x14ac:dyDescent="0.25">
      <c r="A57" s="54" t="s">
        <v>43</v>
      </c>
      <c r="B57" s="448" t="s">
        <v>152</v>
      </c>
      <c r="C57" s="65">
        <v>587686</v>
      </c>
      <c r="D57" s="65">
        <v>1258305</v>
      </c>
      <c r="E57" s="65">
        <v>1498688</v>
      </c>
      <c r="F57" s="65">
        <v>1087269</v>
      </c>
      <c r="G57" s="65">
        <v>1498688</v>
      </c>
      <c r="H57" s="65">
        <v>1277011</v>
      </c>
      <c r="I57" s="65">
        <f t="shared" si="2"/>
        <v>1393102.9090909092</v>
      </c>
      <c r="J57" s="65">
        <v>1500000</v>
      </c>
      <c r="K57" s="65">
        <v>1500000</v>
      </c>
      <c r="L57" s="65">
        <v>1500000</v>
      </c>
      <c r="M57" s="65">
        <f t="shared" si="3"/>
        <v>107.67330900047062</v>
      </c>
      <c r="N57" s="54"/>
      <c r="O57" s="65">
        <v>2500000</v>
      </c>
      <c r="P57" s="65">
        <v>1230576</v>
      </c>
      <c r="Q57" s="65">
        <v>1466265</v>
      </c>
      <c r="R57" s="65">
        <f>L57+100000</f>
        <v>1600000</v>
      </c>
      <c r="S57" s="65">
        <v>2500000</v>
      </c>
      <c r="T57" s="65">
        <v>1641332</v>
      </c>
      <c r="U57" s="65">
        <v>1600000</v>
      </c>
      <c r="V57" s="69">
        <f t="shared" si="4"/>
        <v>1600000</v>
      </c>
      <c r="W57" s="69">
        <f t="shared" si="5"/>
        <v>1600000</v>
      </c>
      <c r="X57" s="121">
        <f t="shared" si="18"/>
        <v>102.58324999999999</v>
      </c>
      <c r="Y57" s="54" t="s">
        <v>376</v>
      </c>
      <c r="Z57" s="210">
        <f t="shared" si="6"/>
        <v>0.97481801366207443</v>
      </c>
      <c r="AA57" s="69">
        <f t="shared" si="7"/>
        <v>1600000</v>
      </c>
      <c r="AB57" s="65">
        <v>815237</v>
      </c>
      <c r="AC57" s="65">
        <v>1153384</v>
      </c>
      <c r="AD57" s="65">
        <v>1273777</v>
      </c>
      <c r="AE57" s="123">
        <f t="shared" si="23"/>
        <v>79.611062500000003</v>
      </c>
      <c r="AF57" s="65">
        <v>1850000</v>
      </c>
      <c r="AG57" s="65">
        <v>1449922</v>
      </c>
      <c r="AH57" s="215">
        <f t="shared" si="30"/>
        <v>1739906.4000000001</v>
      </c>
      <c r="AI57" s="216">
        <f t="shared" ref="AI57:AI102" si="33">AH57*1.02</f>
        <v>1774704.5280000002</v>
      </c>
      <c r="AJ57" s="55"/>
      <c r="AK57" s="69">
        <f t="shared" si="9"/>
        <v>1774704.5280000002</v>
      </c>
      <c r="AL57" s="54"/>
      <c r="AM57" s="347">
        <v>1796832</v>
      </c>
      <c r="AN57" s="349">
        <v>1774705</v>
      </c>
      <c r="AO57" s="354">
        <v>812681</v>
      </c>
      <c r="AP57" s="55">
        <v>1654705</v>
      </c>
      <c r="AQ57" s="55">
        <v>1132144</v>
      </c>
      <c r="AR57" s="69">
        <f t="shared" si="14"/>
        <v>522561</v>
      </c>
      <c r="AS57" s="54">
        <f t="shared" si="19"/>
        <v>68.419688101504491</v>
      </c>
      <c r="AT57" s="65">
        <v>1216280</v>
      </c>
      <c r="AU57" s="69">
        <f>AP57-AT57</f>
        <v>438425</v>
      </c>
      <c r="AV57" s="54">
        <f>AU57/AP57*100</f>
        <v>26.495659347134382</v>
      </c>
      <c r="AW57" s="69">
        <v>1774705</v>
      </c>
      <c r="AX57" s="69">
        <v>1774705</v>
      </c>
      <c r="AY57" s="69">
        <f t="shared" si="11"/>
        <v>1774705</v>
      </c>
      <c r="AZ57" s="55">
        <f t="shared" si="31"/>
        <v>1774705</v>
      </c>
      <c r="BA57" s="69">
        <f t="shared" si="32"/>
        <v>1774705</v>
      </c>
      <c r="BB57" s="501">
        <v>1774705</v>
      </c>
      <c r="BC57" s="501">
        <v>1774705</v>
      </c>
      <c r="BD57" s="501">
        <v>983080</v>
      </c>
      <c r="BE57" s="501">
        <v>1126979</v>
      </c>
      <c r="BF57" s="221">
        <v>1263988</v>
      </c>
      <c r="BG57" s="365">
        <f t="shared" si="15"/>
        <v>1516785.6</v>
      </c>
      <c r="BH57" s="223">
        <f t="shared" ref="BH57:BH89" si="34">BB57*1.08</f>
        <v>1916681.4000000001</v>
      </c>
      <c r="BI57" s="55">
        <v>1816681</v>
      </c>
      <c r="BJ57" s="55">
        <v>1058591</v>
      </c>
      <c r="BK57" s="65">
        <v>1493211</v>
      </c>
      <c r="BL57" s="69">
        <f t="shared" si="12"/>
        <v>1791853.2000000002</v>
      </c>
      <c r="BM57" s="69">
        <v>1500000</v>
      </c>
      <c r="BN57" s="69">
        <v>1500000</v>
      </c>
      <c r="BO57" s="576">
        <v>1396818</v>
      </c>
      <c r="BP57" s="576">
        <f t="shared" si="17"/>
        <v>1676181.5999999999</v>
      </c>
      <c r="BQ57" s="69">
        <f t="shared" ref="BQ57:BQ101" si="35">BP57*1.1</f>
        <v>1843799.76</v>
      </c>
      <c r="BR57" s="55">
        <v>1843800</v>
      </c>
      <c r="BS57" s="55">
        <v>1843800</v>
      </c>
      <c r="BT57" s="223">
        <v>1843800</v>
      </c>
      <c r="BU57" s="223">
        <v>2000000</v>
      </c>
      <c r="BV57" s="347">
        <v>2000000</v>
      </c>
    </row>
    <row r="58" spans="1:103" x14ac:dyDescent="0.25">
      <c r="A58" s="54" t="s">
        <v>243</v>
      </c>
      <c r="B58" s="448" t="s">
        <v>244</v>
      </c>
      <c r="C58" s="65"/>
      <c r="D58" s="65"/>
      <c r="E58" s="65"/>
      <c r="F58" s="65"/>
      <c r="G58" s="65">
        <v>112500</v>
      </c>
      <c r="H58" s="65">
        <v>112500</v>
      </c>
      <c r="I58" s="65">
        <f t="shared" si="2"/>
        <v>122727.27272727274</v>
      </c>
      <c r="J58" s="65"/>
      <c r="K58" s="65"/>
      <c r="L58" s="65"/>
      <c r="M58" s="65">
        <f t="shared" si="3"/>
        <v>0</v>
      </c>
      <c r="N58" s="54"/>
      <c r="O58" s="65"/>
      <c r="P58" s="65"/>
      <c r="Q58" s="65"/>
      <c r="R58" s="65">
        <f t="shared" ref="R58:R89" si="36">L58</f>
        <v>0</v>
      </c>
      <c r="S58" s="65"/>
      <c r="T58" s="65"/>
      <c r="U58" s="65">
        <v>0</v>
      </c>
      <c r="V58" s="69">
        <f t="shared" si="4"/>
        <v>0</v>
      </c>
      <c r="W58" s="69">
        <f t="shared" si="5"/>
        <v>0</v>
      </c>
      <c r="X58" s="121"/>
      <c r="Y58" s="54"/>
      <c r="Z58" s="210" t="e">
        <f t="shared" si="6"/>
        <v>#DIV/0!</v>
      </c>
      <c r="AA58" s="69">
        <f t="shared" si="7"/>
        <v>0</v>
      </c>
      <c r="AB58" s="65"/>
      <c r="AC58" s="65"/>
      <c r="AD58" s="65"/>
      <c r="AE58" s="123"/>
      <c r="AF58" s="65"/>
      <c r="AG58" s="65"/>
      <c r="AH58" s="215">
        <f t="shared" si="30"/>
        <v>0</v>
      </c>
      <c r="AI58" s="216">
        <f t="shared" si="33"/>
        <v>0</v>
      </c>
      <c r="AJ58" s="55"/>
      <c r="AK58" s="69">
        <f t="shared" si="9"/>
        <v>0</v>
      </c>
      <c r="AL58" s="54"/>
      <c r="AM58" s="347"/>
      <c r="AN58" s="349"/>
      <c r="AO58" s="354"/>
      <c r="AR58" s="69">
        <f t="shared" si="14"/>
        <v>0</v>
      </c>
      <c r="AS58" s="54"/>
      <c r="AT58" s="65"/>
      <c r="AU58" s="69"/>
      <c r="AW58" s="69">
        <f t="shared" si="10"/>
        <v>0</v>
      </c>
      <c r="AX58" s="69">
        <f t="shared" si="10"/>
        <v>0</v>
      </c>
      <c r="AY58" s="69">
        <f t="shared" si="11"/>
        <v>0</v>
      </c>
      <c r="AZ58" s="55">
        <f t="shared" si="31"/>
        <v>0</v>
      </c>
      <c r="BA58" s="69">
        <f t="shared" si="32"/>
        <v>0</v>
      </c>
      <c r="BB58" s="501"/>
      <c r="BE58" s="501"/>
      <c r="BF58" s="221"/>
      <c r="BG58" s="365">
        <f t="shared" si="15"/>
        <v>0</v>
      </c>
      <c r="BH58" s="223">
        <f t="shared" si="34"/>
        <v>0</v>
      </c>
      <c r="BI58" s="55"/>
      <c r="BJ58" s="55"/>
      <c r="BK58" s="65"/>
      <c r="BL58" s="69">
        <f t="shared" si="12"/>
        <v>0</v>
      </c>
      <c r="BM58" s="54"/>
      <c r="BN58" s="54"/>
      <c r="BO58" s="576"/>
      <c r="BP58" s="576">
        <f t="shared" si="17"/>
        <v>0</v>
      </c>
      <c r="BQ58" s="69">
        <f t="shared" si="35"/>
        <v>0</v>
      </c>
      <c r="BR58" s="55"/>
      <c r="BS58" s="55"/>
      <c r="BT58" s="223"/>
      <c r="BU58" s="223"/>
      <c r="BV58" s="347"/>
    </row>
    <row r="59" spans="1:103" x14ac:dyDescent="0.25">
      <c r="A59" s="54" t="s">
        <v>44</v>
      </c>
      <c r="B59" s="448" t="s">
        <v>153</v>
      </c>
      <c r="C59" s="65">
        <v>203284</v>
      </c>
      <c r="D59" s="65">
        <v>168816</v>
      </c>
      <c r="E59" s="65">
        <v>203284</v>
      </c>
      <c r="F59" s="65">
        <v>297494</v>
      </c>
      <c r="G59" s="65">
        <v>301994</v>
      </c>
      <c r="H59" s="65">
        <v>297494</v>
      </c>
      <c r="I59" s="65">
        <f t="shared" si="2"/>
        <v>324538.90909090912</v>
      </c>
      <c r="J59" s="65">
        <v>400000</v>
      </c>
      <c r="K59" s="65">
        <v>400000</v>
      </c>
      <c r="L59" s="65">
        <v>400000</v>
      </c>
      <c r="M59" s="65">
        <f t="shared" si="3"/>
        <v>123.25178547018314</v>
      </c>
      <c r="N59" s="54"/>
      <c r="O59" s="65">
        <v>400000</v>
      </c>
      <c r="P59" s="65">
        <v>70289</v>
      </c>
      <c r="Q59" s="65">
        <v>77852</v>
      </c>
      <c r="R59" s="65">
        <f t="shared" si="36"/>
        <v>400000</v>
      </c>
      <c r="S59" s="65">
        <v>410000</v>
      </c>
      <c r="T59" s="65">
        <v>159374</v>
      </c>
      <c r="U59" s="65">
        <v>400000</v>
      </c>
      <c r="V59" s="69">
        <f t="shared" si="4"/>
        <v>400000</v>
      </c>
      <c r="W59" s="69">
        <f t="shared" si="5"/>
        <v>400000</v>
      </c>
      <c r="X59" s="121">
        <f t="shared" si="18"/>
        <v>39.843499999999999</v>
      </c>
      <c r="Y59" s="54"/>
      <c r="Z59" s="210">
        <f t="shared" si="6"/>
        <v>2.5098196694567494</v>
      </c>
      <c r="AA59" s="69">
        <f t="shared" si="7"/>
        <v>400000</v>
      </c>
      <c r="AB59" s="65">
        <v>116240</v>
      </c>
      <c r="AC59" s="65">
        <v>174515</v>
      </c>
      <c r="AD59" s="65">
        <v>208282</v>
      </c>
      <c r="AE59" s="123">
        <f t="shared" si="23"/>
        <v>52.070499999999996</v>
      </c>
      <c r="AF59" s="65">
        <v>400000</v>
      </c>
      <c r="AG59" s="65">
        <v>234850</v>
      </c>
      <c r="AH59" s="215">
        <f t="shared" si="30"/>
        <v>281820</v>
      </c>
      <c r="AI59" s="216">
        <f t="shared" si="33"/>
        <v>287456.40000000002</v>
      </c>
      <c r="AJ59" s="55"/>
      <c r="AK59" s="69">
        <f t="shared" si="9"/>
        <v>287456.40000000002</v>
      </c>
      <c r="AL59" s="54"/>
      <c r="AM59" s="347">
        <v>316623</v>
      </c>
      <c r="AN59" s="349">
        <v>487456</v>
      </c>
      <c r="AO59" s="354">
        <v>405599</v>
      </c>
      <c r="AP59" s="55">
        <v>487456</v>
      </c>
      <c r="AQ59" s="55">
        <v>410559</v>
      </c>
      <c r="AR59" s="55">
        <v>410559</v>
      </c>
      <c r="AS59" s="55">
        <v>410559</v>
      </c>
      <c r="AT59" s="55">
        <v>410559</v>
      </c>
      <c r="AU59" s="69">
        <f>AP59-AT59</f>
        <v>76897</v>
      </c>
      <c r="AV59" s="54">
        <f>AU59/AP59*100</f>
        <v>15.775167399724282</v>
      </c>
      <c r="AW59" s="69">
        <v>287456</v>
      </c>
      <c r="AX59" s="69">
        <v>287456</v>
      </c>
      <c r="AY59" s="69">
        <f t="shared" si="11"/>
        <v>287456</v>
      </c>
      <c r="AZ59" s="55">
        <f t="shared" si="31"/>
        <v>287456</v>
      </c>
      <c r="BA59" s="69">
        <f t="shared" si="32"/>
        <v>287456</v>
      </c>
      <c r="BB59" s="501">
        <v>287456</v>
      </c>
      <c r="BC59" s="501">
        <v>287456</v>
      </c>
      <c r="BD59" s="501">
        <v>23572</v>
      </c>
      <c r="BE59" s="501">
        <v>98572</v>
      </c>
      <c r="BF59" s="221">
        <v>133962</v>
      </c>
      <c r="BG59" s="365">
        <f t="shared" si="15"/>
        <v>160754.40000000002</v>
      </c>
      <c r="BH59" s="223">
        <f t="shared" si="34"/>
        <v>310452.48000000004</v>
      </c>
      <c r="BI59" s="55">
        <v>410452</v>
      </c>
      <c r="BJ59" s="55">
        <v>333750</v>
      </c>
      <c r="BK59" s="65">
        <v>333750</v>
      </c>
      <c r="BL59" s="69">
        <f t="shared" si="12"/>
        <v>400500</v>
      </c>
      <c r="BM59" s="69">
        <v>0</v>
      </c>
      <c r="BN59" s="69"/>
      <c r="BO59" s="576">
        <v>460893</v>
      </c>
      <c r="BP59" s="576">
        <f t="shared" si="17"/>
        <v>553071.60000000009</v>
      </c>
      <c r="BQ59" s="69">
        <f t="shared" si="35"/>
        <v>608378.76000000013</v>
      </c>
      <c r="BR59" s="55">
        <v>608379</v>
      </c>
      <c r="BS59" s="55">
        <v>608379</v>
      </c>
      <c r="BT59" s="223">
        <v>608379</v>
      </c>
      <c r="BU59" s="223">
        <v>1100000</v>
      </c>
      <c r="BV59" s="347">
        <v>400000</v>
      </c>
    </row>
    <row r="60" spans="1:103" x14ac:dyDescent="0.25">
      <c r="A60" s="54" t="s">
        <v>45</v>
      </c>
      <c r="B60" s="448" t="s">
        <v>154</v>
      </c>
      <c r="C60" s="65">
        <v>549799</v>
      </c>
      <c r="D60" s="65">
        <v>490071</v>
      </c>
      <c r="E60" s="65">
        <v>549799</v>
      </c>
      <c r="F60" s="65">
        <v>557379</v>
      </c>
      <c r="G60" s="65">
        <v>893713</v>
      </c>
      <c r="H60" s="65">
        <v>581151</v>
      </c>
      <c r="I60" s="65">
        <f t="shared" si="2"/>
        <v>633982.90909090906</v>
      </c>
      <c r="J60" s="65">
        <v>700000</v>
      </c>
      <c r="K60" s="65">
        <v>700000</v>
      </c>
      <c r="L60" s="65">
        <v>700000</v>
      </c>
      <c r="M60" s="65">
        <f t="shared" si="3"/>
        <v>110.41307107217688</v>
      </c>
      <c r="N60" s="54"/>
      <c r="O60" s="65">
        <v>700000</v>
      </c>
      <c r="P60" s="65">
        <v>651053</v>
      </c>
      <c r="Q60" s="65">
        <v>768951</v>
      </c>
      <c r="R60" s="65">
        <f t="shared" si="36"/>
        <v>700000</v>
      </c>
      <c r="S60" s="65">
        <v>963500</v>
      </c>
      <c r="T60" s="65">
        <v>851954</v>
      </c>
      <c r="U60" s="65">
        <v>700000</v>
      </c>
      <c r="V60" s="69">
        <f t="shared" si="4"/>
        <v>700000</v>
      </c>
      <c r="W60" s="69">
        <f t="shared" si="5"/>
        <v>700000</v>
      </c>
      <c r="X60" s="121">
        <f t="shared" si="18"/>
        <v>121.70771428571427</v>
      </c>
      <c r="Y60" s="54"/>
      <c r="Z60" s="210">
        <f t="shared" si="6"/>
        <v>0.82164060500919067</v>
      </c>
      <c r="AA60" s="69">
        <f t="shared" si="7"/>
        <v>700000</v>
      </c>
      <c r="AB60" s="65">
        <v>385119</v>
      </c>
      <c r="AC60" s="65">
        <v>515073</v>
      </c>
      <c r="AD60" s="65">
        <v>577036</v>
      </c>
      <c r="AE60" s="123">
        <f t="shared" si="23"/>
        <v>82.433714285714288</v>
      </c>
      <c r="AF60" s="65">
        <v>700000</v>
      </c>
      <c r="AG60" s="65">
        <v>689159</v>
      </c>
      <c r="AH60" s="215">
        <f t="shared" si="30"/>
        <v>826990.79999999993</v>
      </c>
      <c r="AI60" s="216">
        <f t="shared" si="33"/>
        <v>843530.61599999992</v>
      </c>
      <c r="AJ60" s="55"/>
      <c r="AK60" s="69">
        <f t="shared" si="9"/>
        <v>843530.61599999992</v>
      </c>
      <c r="AL60" s="54"/>
      <c r="AM60" s="347">
        <v>697731</v>
      </c>
      <c r="AN60" s="349">
        <v>793531</v>
      </c>
      <c r="AO60" s="354">
        <v>515308</v>
      </c>
      <c r="AP60" s="55">
        <v>893531</v>
      </c>
      <c r="AQ60" s="55">
        <v>806844</v>
      </c>
      <c r="AR60" s="69">
        <f t="shared" si="14"/>
        <v>86687</v>
      </c>
      <c r="AS60" s="54">
        <f t="shared" si="19"/>
        <v>90.298378008149697</v>
      </c>
      <c r="AT60" s="65">
        <v>896794</v>
      </c>
      <c r="AU60" s="69">
        <f>AP60-AT60</f>
        <v>-3263</v>
      </c>
      <c r="AV60" s="54">
        <f>AU60/AP60*100</f>
        <v>-0.36518039105526273</v>
      </c>
      <c r="AW60" s="69">
        <v>843531</v>
      </c>
      <c r="AX60" s="69">
        <v>843531</v>
      </c>
      <c r="AY60" s="69">
        <f t="shared" si="11"/>
        <v>843531</v>
      </c>
      <c r="AZ60" s="55">
        <f t="shared" si="31"/>
        <v>843531</v>
      </c>
      <c r="BA60" s="69">
        <f t="shared" si="32"/>
        <v>843531</v>
      </c>
      <c r="BB60" s="501">
        <v>843531</v>
      </c>
      <c r="BC60" s="501">
        <v>843531</v>
      </c>
      <c r="BD60" s="501">
        <v>470260</v>
      </c>
      <c r="BE60" s="501">
        <v>654366</v>
      </c>
      <c r="BF60" s="221">
        <v>713829</v>
      </c>
      <c r="BG60" s="365">
        <f t="shared" si="15"/>
        <v>856594.79999999993</v>
      </c>
      <c r="BH60" s="223">
        <f t="shared" si="34"/>
        <v>911013.4800000001</v>
      </c>
      <c r="BI60" s="55">
        <v>931013</v>
      </c>
      <c r="BJ60" s="55">
        <v>456954</v>
      </c>
      <c r="BK60" s="65">
        <v>727876</v>
      </c>
      <c r="BL60" s="69">
        <f t="shared" si="12"/>
        <v>873451.20000000007</v>
      </c>
      <c r="BM60" s="69">
        <v>1500000</v>
      </c>
      <c r="BN60" s="69">
        <v>1500000</v>
      </c>
      <c r="BO60" s="576">
        <v>998440</v>
      </c>
      <c r="BP60" s="576">
        <f t="shared" si="17"/>
        <v>1198128</v>
      </c>
      <c r="BQ60" s="69">
        <f t="shared" si="35"/>
        <v>1317940.8</v>
      </c>
      <c r="BR60" s="55">
        <v>1317941</v>
      </c>
      <c r="BS60" s="55">
        <v>1317941</v>
      </c>
      <c r="BT60" s="223">
        <v>1317941</v>
      </c>
      <c r="BU60" s="223">
        <v>800000</v>
      </c>
      <c r="BV60" s="347">
        <v>600000</v>
      </c>
    </row>
    <row r="61" spans="1:103" s="39" customFormat="1" x14ac:dyDescent="0.25">
      <c r="A61" s="54" t="s">
        <v>700</v>
      </c>
      <c r="B61" s="448" t="s">
        <v>703</v>
      </c>
      <c r="C61" s="65">
        <v>1079776</v>
      </c>
      <c r="D61" s="65">
        <v>717879</v>
      </c>
      <c r="E61" s="65">
        <v>832856</v>
      </c>
      <c r="F61" s="65">
        <v>722223</v>
      </c>
      <c r="G61" s="65">
        <v>1710219</v>
      </c>
      <c r="H61" s="65">
        <v>755934</v>
      </c>
      <c r="I61" s="65">
        <f t="shared" si="2"/>
        <v>824655.27272727271</v>
      </c>
      <c r="J61" s="65">
        <v>1000000</v>
      </c>
      <c r="K61" s="65">
        <v>1000000</v>
      </c>
      <c r="L61" s="65">
        <v>1000000</v>
      </c>
      <c r="M61" s="65">
        <f t="shared" si="3"/>
        <v>121.26279101967457</v>
      </c>
      <c r="N61" s="54"/>
      <c r="O61" s="65">
        <v>4100764</v>
      </c>
      <c r="P61" s="65">
        <v>1139699</v>
      </c>
      <c r="Q61" s="65">
        <v>1216873</v>
      </c>
      <c r="R61" s="65">
        <f t="shared" si="36"/>
        <v>1000000</v>
      </c>
      <c r="S61" s="65">
        <v>2890764</v>
      </c>
      <c r="T61" s="65">
        <v>1093319</v>
      </c>
      <c r="U61" s="65">
        <v>1000000</v>
      </c>
      <c r="V61" s="69">
        <f t="shared" si="4"/>
        <v>1000000</v>
      </c>
      <c r="W61" s="69">
        <f t="shared" si="5"/>
        <v>1000000</v>
      </c>
      <c r="X61" s="121">
        <f t="shared" si="18"/>
        <v>109.33189999999999</v>
      </c>
      <c r="Y61" s="54"/>
      <c r="Z61" s="210">
        <f t="shared" si="6"/>
        <v>0.9146461371292367</v>
      </c>
      <c r="AA61" s="69">
        <f t="shared" si="7"/>
        <v>1000000</v>
      </c>
      <c r="AB61" s="65">
        <v>594447</v>
      </c>
      <c r="AC61" s="65">
        <v>688346</v>
      </c>
      <c r="AD61" s="65">
        <v>732791</v>
      </c>
      <c r="AE61" s="123">
        <f t="shared" si="23"/>
        <v>73.2791</v>
      </c>
      <c r="AF61" s="65">
        <v>1100000</v>
      </c>
      <c r="AG61" s="65">
        <v>776261</v>
      </c>
      <c r="AH61" s="215">
        <f t="shared" si="30"/>
        <v>931513.20000000007</v>
      </c>
      <c r="AI61" s="216">
        <f t="shared" si="33"/>
        <v>950143.46400000004</v>
      </c>
      <c r="AJ61" s="65"/>
      <c r="AK61" s="69">
        <f t="shared" si="9"/>
        <v>950143.46400000004</v>
      </c>
      <c r="AL61" s="54"/>
      <c r="AM61" s="347">
        <v>811908</v>
      </c>
      <c r="AN61" s="349">
        <v>1510143</v>
      </c>
      <c r="AO61" s="354">
        <v>1080727</v>
      </c>
      <c r="AP61" s="65">
        <v>1510143</v>
      </c>
      <c r="AQ61" s="65">
        <v>1238077</v>
      </c>
      <c r="AR61" s="69">
        <f t="shared" si="14"/>
        <v>272066</v>
      </c>
      <c r="AS61" s="54">
        <f t="shared" si="19"/>
        <v>81.984090248406943</v>
      </c>
      <c r="AT61" s="65">
        <v>1290241</v>
      </c>
      <c r="AU61" s="69">
        <f>AP61-AT61</f>
        <v>219902</v>
      </c>
      <c r="AV61" s="54">
        <f>AU61/AP61*100</f>
        <v>14.561667338788444</v>
      </c>
      <c r="AW61" s="69">
        <v>950143</v>
      </c>
      <c r="AX61" s="69">
        <v>950143</v>
      </c>
      <c r="AY61" s="69">
        <f t="shared" si="11"/>
        <v>950143</v>
      </c>
      <c r="AZ61" s="55">
        <f t="shared" si="31"/>
        <v>950143</v>
      </c>
      <c r="BA61" s="69">
        <f t="shared" si="32"/>
        <v>950143</v>
      </c>
      <c r="BB61" s="501">
        <v>950143</v>
      </c>
      <c r="BC61" s="501">
        <v>950143</v>
      </c>
      <c r="BD61" s="501">
        <v>697742</v>
      </c>
      <c r="BE61" s="501">
        <v>774391</v>
      </c>
      <c r="BF61" s="221">
        <v>812622</v>
      </c>
      <c r="BG61" s="365">
        <f t="shared" si="15"/>
        <v>975146.39999999991</v>
      </c>
      <c r="BH61" s="223">
        <f t="shared" si="34"/>
        <v>1026154.4400000001</v>
      </c>
      <c r="BI61" s="55">
        <v>1443701</v>
      </c>
      <c r="BJ61" s="55">
        <v>978961</v>
      </c>
      <c r="BK61" s="65">
        <v>1924340</v>
      </c>
      <c r="BL61" s="69">
        <f t="shared" si="12"/>
        <v>2309208</v>
      </c>
      <c r="BM61" s="69">
        <v>6200000</v>
      </c>
      <c r="BN61" s="69">
        <v>930000</v>
      </c>
      <c r="BO61" s="576">
        <v>1020102</v>
      </c>
      <c r="BP61" s="576">
        <f t="shared" si="17"/>
        <v>1224122.3999999999</v>
      </c>
      <c r="BQ61" s="69">
        <f t="shared" si="35"/>
        <v>1346534.64</v>
      </c>
      <c r="BR61" s="55">
        <v>1346535</v>
      </c>
      <c r="BS61" s="55">
        <v>1346535</v>
      </c>
      <c r="BT61" s="245">
        <f>1346535*0.75</f>
        <v>1009901.25</v>
      </c>
      <c r="BU61" s="223">
        <v>3500000</v>
      </c>
      <c r="BV61" s="347">
        <v>1000000</v>
      </c>
      <c r="BW61"/>
      <c r="BX61" s="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</row>
    <row r="62" spans="1:103" s="39" customFormat="1" x14ac:dyDescent="0.25">
      <c r="A62" s="54" t="s">
        <v>701</v>
      </c>
      <c r="B62" s="448" t="s">
        <v>704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54"/>
      <c r="O62" s="65"/>
      <c r="P62" s="65"/>
      <c r="Q62" s="65"/>
      <c r="R62" s="65"/>
      <c r="S62" s="65"/>
      <c r="T62" s="65"/>
      <c r="U62" s="65"/>
      <c r="V62" s="69"/>
      <c r="W62" s="69"/>
      <c r="X62" s="121"/>
      <c r="Y62" s="54"/>
      <c r="Z62" s="210"/>
      <c r="AA62" s="69"/>
      <c r="AB62" s="65"/>
      <c r="AC62" s="65"/>
      <c r="AD62" s="65"/>
      <c r="AE62" s="123"/>
      <c r="AF62" s="65"/>
      <c r="AG62" s="65"/>
      <c r="AH62" s="215"/>
      <c r="AI62" s="216"/>
      <c r="AJ62" s="65"/>
      <c r="AK62" s="69"/>
      <c r="AL62" s="54"/>
      <c r="AM62" s="347"/>
      <c r="AN62" s="349"/>
      <c r="AO62" s="354"/>
      <c r="AP62" s="65"/>
      <c r="AQ62" s="65"/>
      <c r="AR62" s="69"/>
      <c r="AS62" s="54"/>
      <c r="AT62" s="65"/>
      <c r="AU62" s="69"/>
      <c r="AV62" s="54"/>
      <c r="AW62" s="69"/>
      <c r="AX62" s="69"/>
      <c r="AY62" s="69"/>
      <c r="AZ62" s="55"/>
      <c r="BA62" s="69"/>
      <c r="BB62" s="501"/>
      <c r="BC62" s="501"/>
      <c r="BD62" s="501"/>
      <c r="BE62" s="501"/>
      <c r="BF62" s="221"/>
      <c r="BG62" s="365"/>
      <c r="BH62" s="223"/>
      <c r="BI62" s="55"/>
      <c r="BJ62" s="55"/>
      <c r="BK62" s="65"/>
      <c r="BL62" s="69"/>
      <c r="BM62" s="69"/>
      <c r="BN62" s="69">
        <v>5270000</v>
      </c>
      <c r="BO62" s="576">
        <v>463523</v>
      </c>
      <c r="BP62" s="576">
        <f t="shared" si="17"/>
        <v>556227.60000000009</v>
      </c>
      <c r="BQ62" s="69">
        <f t="shared" si="35"/>
        <v>611850.3600000001</v>
      </c>
      <c r="BR62" s="55">
        <v>611850</v>
      </c>
      <c r="BS62" s="55">
        <v>611850</v>
      </c>
      <c r="BT62" s="245">
        <f>611850*0.9</f>
        <v>550665</v>
      </c>
      <c r="BU62" s="223">
        <v>1500000</v>
      </c>
      <c r="BV62" s="347">
        <v>1000000</v>
      </c>
      <c r="BW62"/>
      <c r="BX62" s="1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</row>
    <row r="63" spans="1:103" s="39" customFormat="1" x14ac:dyDescent="0.25">
      <c r="A63" s="54" t="s">
        <v>702</v>
      </c>
      <c r="B63" s="448" t="s">
        <v>705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54"/>
      <c r="O63" s="65"/>
      <c r="P63" s="65"/>
      <c r="Q63" s="65"/>
      <c r="R63" s="65"/>
      <c r="S63" s="65"/>
      <c r="T63" s="65"/>
      <c r="U63" s="65"/>
      <c r="V63" s="69"/>
      <c r="W63" s="69"/>
      <c r="X63" s="121"/>
      <c r="Y63" s="54"/>
      <c r="Z63" s="210"/>
      <c r="AA63" s="69"/>
      <c r="AB63" s="65"/>
      <c r="AC63" s="65"/>
      <c r="AD63" s="65"/>
      <c r="AE63" s="123"/>
      <c r="AF63" s="65"/>
      <c r="AG63" s="65"/>
      <c r="AH63" s="215"/>
      <c r="AI63" s="216"/>
      <c r="AJ63" s="65"/>
      <c r="AK63" s="69"/>
      <c r="AL63" s="54"/>
      <c r="AM63" s="347"/>
      <c r="AN63" s="349"/>
      <c r="AO63" s="354"/>
      <c r="AP63" s="65"/>
      <c r="AQ63" s="65"/>
      <c r="AR63" s="69"/>
      <c r="AS63" s="54"/>
      <c r="AT63" s="65"/>
      <c r="AU63" s="69"/>
      <c r="AV63" s="54"/>
      <c r="AW63" s="69"/>
      <c r="AX63" s="69"/>
      <c r="AY63" s="69"/>
      <c r="AZ63" s="55"/>
      <c r="BA63" s="69"/>
      <c r="BB63" s="501"/>
      <c r="BC63" s="501"/>
      <c r="BD63" s="501"/>
      <c r="BE63" s="501"/>
      <c r="BF63" s="221"/>
      <c r="BG63" s="365"/>
      <c r="BH63" s="223"/>
      <c r="BI63" s="55"/>
      <c r="BJ63" s="55"/>
      <c r="BK63" s="65"/>
      <c r="BL63" s="69"/>
      <c r="BM63" s="69"/>
      <c r="BN63" s="69"/>
      <c r="BO63" s="576"/>
      <c r="BP63" s="576">
        <f t="shared" si="17"/>
        <v>0</v>
      </c>
      <c r="BQ63" s="69">
        <f t="shared" si="35"/>
        <v>0</v>
      </c>
      <c r="BR63" s="55"/>
      <c r="BS63" s="55"/>
      <c r="BT63" s="245">
        <v>80000</v>
      </c>
      <c r="BU63" s="223">
        <v>2000000</v>
      </c>
      <c r="BV63" s="347">
        <v>2000000</v>
      </c>
      <c r="BW63"/>
      <c r="BX63" s="1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</row>
    <row r="64" spans="1:103" x14ac:dyDescent="0.25">
      <c r="A64" s="54" t="s">
        <v>231</v>
      </c>
      <c r="B64" s="448" t="s">
        <v>232</v>
      </c>
      <c r="C64" s="65"/>
      <c r="D64" s="65"/>
      <c r="E64" s="65"/>
      <c r="F64" s="65"/>
      <c r="G64" s="65"/>
      <c r="H64" s="65"/>
      <c r="I64" s="65">
        <f t="shared" si="2"/>
        <v>0</v>
      </c>
      <c r="J64" s="65"/>
      <c r="K64" s="65"/>
      <c r="L64" s="65"/>
      <c r="M64" s="65">
        <f t="shared" si="3"/>
        <v>0</v>
      </c>
      <c r="N64" s="54"/>
      <c r="O64" s="65"/>
      <c r="P64" s="65"/>
      <c r="Q64" s="65"/>
      <c r="R64" s="65">
        <f t="shared" si="36"/>
        <v>0</v>
      </c>
      <c r="S64" s="65"/>
      <c r="T64" s="65"/>
      <c r="U64" s="65">
        <v>0</v>
      </c>
      <c r="V64" s="69">
        <f t="shared" si="4"/>
        <v>0</v>
      </c>
      <c r="W64" s="69">
        <f t="shared" si="5"/>
        <v>0</v>
      </c>
      <c r="X64" s="121"/>
      <c r="Y64" s="54"/>
      <c r="Z64" s="210" t="e">
        <f t="shared" si="6"/>
        <v>#DIV/0!</v>
      </c>
      <c r="AA64" s="69">
        <f t="shared" si="7"/>
        <v>0</v>
      </c>
      <c r="AB64" s="65"/>
      <c r="AC64" s="65"/>
      <c r="AD64" s="65"/>
      <c r="AE64" s="123"/>
      <c r="AF64" s="65"/>
      <c r="AG64" s="65"/>
      <c r="AH64" s="215">
        <f t="shared" si="30"/>
        <v>0</v>
      </c>
      <c r="AI64" s="216">
        <f t="shared" si="33"/>
        <v>0</v>
      </c>
      <c r="AJ64" s="65"/>
      <c r="AK64" s="69">
        <f t="shared" si="9"/>
        <v>0</v>
      </c>
      <c r="AL64" s="54"/>
      <c r="AM64" s="347"/>
      <c r="AN64" s="349"/>
      <c r="AO64" s="354"/>
      <c r="AP64" s="65"/>
      <c r="AQ64" s="65"/>
      <c r="AR64" s="69">
        <f t="shared" si="14"/>
        <v>0</v>
      </c>
      <c r="AS64" s="54"/>
      <c r="AT64" s="65"/>
      <c r="AU64" s="69"/>
      <c r="AW64" s="69">
        <f t="shared" si="10"/>
        <v>0</v>
      </c>
      <c r="AX64" s="69">
        <f t="shared" si="10"/>
        <v>0</v>
      </c>
      <c r="AY64" s="69">
        <f t="shared" si="11"/>
        <v>0</v>
      </c>
      <c r="AZ64" s="55">
        <f t="shared" si="31"/>
        <v>0</v>
      </c>
      <c r="BA64" s="69">
        <f t="shared" si="32"/>
        <v>0</v>
      </c>
      <c r="BB64" s="501"/>
      <c r="BE64" s="501"/>
      <c r="BF64" s="221"/>
      <c r="BG64" s="365">
        <f t="shared" si="15"/>
        <v>0</v>
      </c>
      <c r="BH64" s="223">
        <f t="shared" si="34"/>
        <v>0</v>
      </c>
      <c r="BI64" s="55"/>
      <c r="BJ64" s="55"/>
      <c r="BK64" s="65"/>
      <c r="BL64" s="69">
        <f t="shared" si="12"/>
        <v>0</v>
      </c>
      <c r="BM64" s="69">
        <v>0</v>
      </c>
      <c r="BN64" s="69"/>
      <c r="BO64" s="576"/>
      <c r="BP64" s="576">
        <f t="shared" si="17"/>
        <v>0</v>
      </c>
      <c r="BQ64" s="69">
        <f t="shared" si="35"/>
        <v>0</v>
      </c>
      <c r="BR64" s="55"/>
      <c r="BS64" s="55"/>
      <c r="BT64" s="223"/>
      <c r="BU64" s="223"/>
      <c r="BV64" s="347"/>
    </row>
    <row r="65" spans="1:74" x14ac:dyDescent="0.25">
      <c r="A65" s="54" t="s">
        <v>46</v>
      </c>
      <c r="B65" s="448" t="s">
        <v>155</v>
      </c>
      <c r="C65" s="65">
        <v>476226</v>
      </c>
      <c r="D65" s="65">
        <v>589488</v>
      </c>
      <c r="E65" s="65">
        <v>800000</v>
      </c>
      <c r="F65" s="65">
        <f>499164+112500</f>
        <v>611664</v>
      </c>
      <c r="G65" s="65">
        <v>800000</v>
      </c>
      <c r="H65" s="65">
        <v>499164</v>
      </c>
      <c r="I65" s="65">
        <f t="shared" si="2"/>
        <v>544542.54545454541</v>
      </c>
      <c r="J65" s="65">
        <v>800000</v>
      </c>
      <c r="K65" s="65">
        <v>800000</v>
      </c>
      <c r="L65" s="65">
        <v>800000</v>
      </c>
      <c r="M65" s="65">
        <f t="shared" si="3"/>
        <v>146.91230403901992</v>
      </c>
      <c r="N65" s="54"/>
      <c r="O65" s="65">
        <v>800000</v>
      </c>
      <c r="P65" s="65">
        <v>695168</v>
      </c>
      <c r="Q65" s="65">
        <v>728994</v>
      </c>
      <c r="R65" s="65">
        <f t="shared" si="36"/>
        <v>800000</v>
      </c>
      <c r="S65" s="65">
        <v>900000</v>
      </c>
      <c r="T65" s="65">
        <v>836451</v>
      </c>
      <c r="U65" s="65">
        <v>800000</v>
      </c>
      <c r="V65" s="69">
        <f t="shared" si="4"/>
        <v>800000</v>
      </c>
      <c r="W65" s="69">
        <f t="shared" si="5"/>
        <v>800000</v>
      </c>
      <c r="X65" s="121">
        <f t="shared" si="18"/>
        <v>104.55637499999999</v>
      </c>
      <c r="Y65" s="54"/>
      <c r="Z65" s="210">
        <f t="shared" si="6"/>
        <v>0.9564218346322737</v>
      </c>
      <c r="AA65" s="69">
        <f t="shared" si="7"/>
        <v>800000</v>
      </c>
      <c r="AB65" s="65">
        <v>495650</v>
      </c>
      <c r="AC65" s="65">
        <v>622187</v>
      </c>
      <c r="AD65" s="65">
        <v>716823</v>
      </c>
      <c r="AE65" s="123">
        <f t="shared" si="23"/>
        <v>89.602874999999997</v>
      </c>
      <c r="AF65" s="65">
        <v>900000</v>
      </c>
      <c r="AG65" s="65">
        <v>777157</v>
      </c>
      <c r="AH65" s="215">
        <f t="shared" si="30"/>
        <v>932588.39999999991</v>
      </c>
      <c r="AI65" s="216">
        <f t="shared" si="33"/>
        <v>951240.16799999995</v>
      </c>
      <c r="AJ65" s="55"/>
      <c r="AK65" s="69">
        <f t="shared" si="9"/>
        <v>951240.16799999995</v>
      </c>
      <c r="AL65" s="54"/>
      <c r="AM65" s="347">
        <v>884896</v>
      </c>
      <c r="AN65" s="349">
        <v>1001240</v>
      </c>
      <c r="AO65" s="354">
        <v>479627</v>
      </c>
      <c r="AP65" s="55">
        <v>1001240</v>
      </c>
      <c r="AQ65" s="55">
        <v>658202</v>
      </c>
      <c r="AR65" s="69">
        <f t="shared" si="14"/>
        <v>343038</v>
      </c>
      <c r="AS65" s="54">
        <f t="shared" si="19"/>
        <v>65.73868403180056</v>
      </c>
      <c r="AT65" s="65">
        <v>722431</v>
      </c>
      <c r="AU65" s="69">
        <f>AP65-AT65</f>
        <v>278809</v>
      </c>
      <c r="AV65" s="54">
        <f>AU65/AP65*100</f>
        <v>27.846370500579283</v>
      </c>
      <c r="AW65" s="69">
        <v>951240</v>
      </c>
      <c r="AX65" s="69">
        <v>951241</v>
      </c>
      <c r="AY65" s="69">
        <f t="shared" si="11"/>
        <v>951241</v>
      </c>
      <c r="AZ65" s="55">
        <f t="shared" si="31"/>
        <v>951241</v>
      </c>
      <c r="BA65" s="69">
        <f t="shared" si="32"/>
        <v>951241</v>
      </c>
      <c r="BB65" s="501">
        <v>951240</v>
      </c>
      <c r="BC65" s="501">
        <v>951240</v>
      </c>
      <c r="BD65" s="501">
        <v>554510</v>
      </c>
      <c r="BE65" s="501">
        <v>729610</v>
      </c>
      <c r="BF65" s="221">
        <v>769883</v>
      </c>
      <c r="BG65" s="365">
        <f t="shared" si="15"/>
        <v>923859.60000000009</v>
      </c>
      <c r="BH65" s="223">
        <f t="shared" si="34"/>
        <v>1027339.2000000001</v>
      </c>
      <c r="BI65" s="55">
        <v>1027339</v>
      </c>
      <c r="BJ65" s="55">
        <v>562996</v>
      </c>
      <c r="BK65" s="65">
        <v>867157</v>
      </c>
      <c r="BL65" s="69">
        <f t="shared" si="12"/>
        <v>1040588.3999999999</v>
      </c>
      <c r="BM65" s="69">
        <v>700000</v>
      </c>
      <c r="BN65" s="69">
        <v>700000</v>
      </c>
      <c r="BO65" s="576">
        <v>921140</v>
      </c>
      <c r="BP65" s="576">
        <f t="shared" si="17"/>
        <v>1105368</v>
      </c>
      <c r="BQ65" s="69">
        <f t="shared" si="35"/>
        <v>1215904.8</v>
      </c>
      <c r="BR65" s="55">
        <v>1215905</v>
      </c>
      <c r="BS65" s="55">
        <v>1215905</v>
      </c>
      <c r="BT65" s="223">
        <v>1215905</v>
      </c>
      <c r="BU65" s="223">
        <v>100000</v>
      </c>
      <c r="BV65" s="347">
        <v>750000</v>
      </c>
    </row>
    <row r="66" spans="1:74" x14ac:dyDescent="0.25">
      <c r="A66" s="54" t="s">
        <v>47</v>
      </c>
      <c r="B66" s="448" t="s">
        <v>156</v>
      </c>
      <c r="C66" s="65">
        <v>1341577</v>
      </c>
      <c r="D66" s="65">
        <v>1503811</v>
      </c>
      <c r="E66" s="65">
        <v>1500000</v>
      </c>
      <c r="F66" s="65">
        <v>420000</v>
      </c>
      <c r="G66" s="65">
        <v>1000000</v>
      </c>
      <c r="H66" s="65">
        <v>420000</v>
      </c>
      <c r="I66" s="65">
        <f t="shared" si="2"/>
        <v>458181.81818181818</v>
      </c>
      <c r="J66" s="65">
        <v>600000</v>
      </c>
      <c r="K66" s="65">
        <v>600000</v>
      </c>
      <c r="L66" s="65">
        <v>600000</v>
      </c>
      <c r="M66" s="65">
        <f t="shared" si="3"/>
        <v>130.95238095238096</v>
      </c>
      <c r="N66" s="54"/>
      <c r="O66" s="65">
        <v>600000</v>
      </c>
      <c r="P66" s="65"/>
      <c r="Q66" s="65"/>
      <c r="R66" s="65">
        <f t="shared" si="36"/>
        <v>600000</v>
      </c>
      <c r="S66" s="65">
        <v>200000</v>
      </c>
      <c r="T66" s="65"/>
      <c r="U66" s="65">
        <v>600000</v>
      </c>
      <c r="V66" s="69">
        <f t="shared" si="4"/>
        <v>600000</v>
      </c>
      <c r="W66" s="69">
        <f t="shared" si="5"/>
        <v>600000</v>
      </c>
      <c r="X66" s="121">
        <f t="shared" si="18"/>
        <v>0</v>
      </c>
      <c r="Y66" s="54"/>
      <c r="Z66" s="210" t="e">
        <f t="shared" si="6"/>
        <v>#DIV/0!</v>
      </c>
      <c r="AA66" s="69">
        <f t="shared" si="7"/>
        <v>600000</v>
      </c>
      <c r="AB66" s="65">
        <v>0</v>
      </c>
      <c r="AC66" s="65"/>
      <c r="AD66" s="65"/>
      <c r="AE66" s="123">
        <f t="shared" si="23"/>
        <v>0</v>
      </c>
      <c r="AF66" s="65">
        <v>600000</v>
      </c>
      <c r="AG66" s="65"/>
      <c r="AH66" s="215">
        <f t="shared" si="30"/>
        <v>0</v>
      </c>
      <c r="AI66" s="216">
        <f t="shared" si="33"/>
        <v>0</v>
      </c>
      <c r="AJ66" s="55"/>
      <c r="AK66" s="69">
        <f t="shared" si="9"/>
        <v>0</v>
      </c>
      <c r="AL66" s="54"/>
      <c r="AM66" s="347"/>
      <c r="AN66" s="349"/>
      <c r="AO66" s="354"/>
      <c r="AR66" s="69">
        <f t="shared" si="14"/>
        <v>0</v>
      </c>
      <c r="AS66" s="54"/>
      <c r="AT66" s="382"/>
      <c r="AU66" s="69"/>
      <c r="AW66" s="69">
        <f t="shared" si="10"/>
        <v>0</v>
      </c>
      <c r="AX66" s="69">
        <f t="shared" si="10"/>
        <v>0</v>
      </c>
      <c r="AY66" s="69">
        <f t="shared" si="11"/>
        <v>0</v>
      </c>
      <c r="AZ66" s="55">
        <f t="shared" si="31"/>
        <v>0</v>
      </c>
      <c r="BA66" s="69">
        <f t="shared" si="32"/>
        <v>0</v>
      </c>
      <c r="BB66" s="501"/>
      <c r="BE66" s="501"/>
      <c r="BF66" s="221"/>
      <c r="BG66" s="365">
        <f t="shared" si="15"/>
        <v>0</v>
      </c>
      <c r="BH66" s="223">
        <f t="shared" si="34"/>
        <v>0</v>
      </c>
      <c r="BI66" s="55"/>
      <c r="BJ66" s="55"/>
      <c r="BK66" s="65"/>
      <c r="BL66" s="69">
        <f t="shared" si="12"/>
        <v>0</v>
      </c>
      <c r="BM66" s="54"/>
      <c r="BN66" s="54"/>
      <c r="BO66" s="576"/>
      <c r="BP66" s="576">
        <f t="shared" si="17"/>
        <v>0</v>
      </c>
      <c r="BQ66" s="69">
        <f t="shared" si="35"/>
        <v>0</v>
      </c>
      <c r="BR66" s="55"/>
      <c r="BS66" s="55"/>
      <c r="BT66" s="223"/>
      <c r="BU66" s="223"/>
      <c r="BV66" s="347"/>
    </row>
    <row r="67" spans="1:74" x14ac:dyDescent="0.25">
      <c r="A67" s="54" t="s">
        <v>48</v>
      </c>
      <c r="B67" s="446" t="s">
        <v>157</v>
      </c>
      <c r="C67" s="55">
        <v>36241</v>
      </c>
      <c r="D67" s="55">
        <v>84890</v>
      </c>
      <c r="E67" s="55">
        <v>36241</v>
      </c>
      <c r="F67" s="55">
        <v>0</v>
      </c>
      <c r="G67" s="55">
        <v>36241</v>
      </c>
      <c r="H67" s="55">
        <v>0</v>
      </c>
      <c r="I67" s="55">
        <f t="shared" si="2"/>
        <v>0</v>
      </c>
      <c r="J67" s="55">
        <v>0</v>
      </c>
      <c r="K67" s="55">
        <v>0</v>
      </c>
      <c r="L67" s="55">
        <v>0</v>
      </c>
      <c r="M67" s="55">
        <f t="shared" si="3"/>
        <v>0</v>
      </c>
      <c r="N67" s="54"/>
      <c r="O67" s="55"/>
      <c r="P67" s="55"/>
      <c r="Q67" s="55"/>
      <c r="R67" s="55">
        <f t="shared" si="36"/>
        <v>0</v>
      </c>
      <c r="S67" s="55"/>
      <c r="T67" s="55"/>
      <c r="U67" s="55">
        <v>0</v>
      </c>
      <c r="V67" s="69">
        <f t="shared" si="4"/>
        <v>0</v>
      </c>
      <c r="W67" s="69">
        <f t="shared" si="5"/>
        <v>0</v>
      </c>
      <c r="X67" s="122"/>
      <c r="Y67" s="54"/>
      <c r="Z67" s="207" t="e">
        <f t="shared" si="6"/>
        <v>#DIV/0!</v>
      </c>
      <c r="AA67" s="69">
        <f t="shared" si="7"/>
        <v>0</v>
      </c>
      <c r="AB67" s="55"/>
      <c r="AC67" s="55"/>
      <c r="AD67" s="55"/>
      <c r="AE67" s="123"/>
      <c r="AF67" s="65"/>
      <c r="AG67" s="65"/>
      <c r="AH67" s="215">
        <f t="shared" si="30"/>
        <v>0</v>
      </c>
      <c r="AI67" s="216">
        <f t="shared" si="33"/>
        <v>0</v>
      </c>
      <c r="AJ67" s="55"/>
      <c r="AK67" s="69">
        <f t="shared" si="9"/>
        <v>0</v>
      </c>
      <c r="AL67" s="54"/>
      <c r="AM67" s="347"/>
      <c r="AN67" s="349"/>
      <c r="AO67" s="354"/>
      <c r="AR67" s="69">
        <f t="shared" si="14"/>
        <v>0</v>
      </c>
      <c r="AS67" s="54"/>
      <c r="AT67" s="65"/>
      <c r="AU67" s="69"/>
      <c r="AW67" s="69">
        <f t="shared" si="10"/>
        <v>0</v>
      </c>
      <c r="AX67" s="69">
        <f t="shared" si="10"/>
        <v>0</v>
      </c>
      <c r="AY67" s="69">
        <f t="shared" si="11"/>
        <v>0</v>
      </c>
      <c r="AZ67" s="55">
        <f t="shared" si="31"/>
        <v>0</v>
      </c>
      <c r="BA67" s="69">
        <f t="shared" si="32"/>
        <v>0</v>
      </c>
      <c r="BB67" s="501"/>
      <c r="BE67" s="501"/>
      <c r="BF67" s="221"/>
      <c r="BG67" s="365">
        <f t="shared" si="15"/>
        <v>0</v>
      </c>
      <c r="BH67" s="223">
        <f t="shared" si="34"/>
        <v>0</v>
      </c>
      <c r="BI67" s="55"/>
      <c r="BJ67" s="55"/>
      <c r="BK67" s="65"/>
      <c r="BL67" s="69">
        <f t="shared" si="12"/>
        <v>0</v>
      </c>
      <c r="BM67" s="54"/>
      <c r="BN67" s="54"/>
      <c r="BO67" s="576"/>
      <c r="BP67" s="576">
        <f t="shared" si="17"/>
        <v>0</v>
      </c>
      <c r="BQ67" s="69">
        <f t="shared" si="35"/>
        <v>0</v>
      </c>
      <c r="BR67" s="55"/>
      <c r="BS67" s="55"/>
      <c r="BT67" s="223"/>
      <c r="BU67" s="223"/>
      <c r="BV67" s="347"/>
    </row>
    <row r="68" spans="1:74" x14ac:dyDescent="0.25">
      <c r="A68" s="54" t="s">
        <v>233</v>
      </c>
      <c r="B68" s="446" t="s">
        <v>234</v>
      </c>
      <c r="C68" s="55"/>
      <c r="D68" s="55"/>
      <c r="E68" s="55"/>
      <c r="F68" s="55"/>
      <c r="G68" s="55">
        <v>1863181</v>
      </c>
      <c r="H68" s="55">
        <v>1149194</v>
      </c>
      <c r="I68" s="55">
        <f t="shared" si="2"/>
        <v>1253666.1818181819</v>
      </c>
      <c r="J68" s="55"/>
      <c r="K68" s="55"/>
      <c r="L68" s="55"/>
      <c r="M68" s="55">
        <f t="shared" si="3"/>
        <v>0</v>
      </c>
      <c r="N68" s="54"/>
      <c r="O68" s="55"/>
      <c r="P68" s="55"/>
      <c r="Q68" s="55"/>
      <c r="R68" s="55">
        <f t="shared" si="36"/>
        <v>0</v>
      </c>
      <c r="S68" s="55"/>
      <c r="T68" s="55"/>
      <c r="U68" s="55">
        <v>0</v>
      </c>
      <c r="V68" s="69">
        <f t="shared" si="4"/>
        <v>0</v>
      </c>
      <c r="W68" s="69">
        <f t="shared" si="5"/>
        <v>0</v>
      </c>
      <c r="X68" s="122"/>
      <c r="Y68" s="54"/>
      <c r="Z68" s="207" t="e">
        <f t="shared" si="6"/>
        <v>#DIV/0!</v>
      </c>
      <c r="AA68" s="69">
        <f t="shared" si="7"/>
        <v>0</v>
      </c>
      <c r="AB68" s="55"/>
      <c r="AC68" s="55"/>
      <c r="AD68" s="55"/>
      <c r="AE68" s="123"/>
      <c r="AF68" s="65"/>
      <c r="AG68" s="65"/>
      <c r="AH68" s="215">
        <f t="shared" si="30"/>
        <v>0</v>
      </c>
      <c r="AI68" s="216">
        <f t="shared" si="33"/>
        <v>0</v>
      </c>
      <c r="AJ68" s="55"/>
      <c r="AK68" s="69">
        <f t="shared" si="9"/>
        <v>0</v>
      </c>
      <c r="AL68" s="54"/>
      <c r="AM68" s="347"/>
      <c r="AN68" s="349"/>
      <c r="AO68" s="354"/>
      <c r="AR68" s="69">
        <f t="shared" si="14"/>
        <v>0</v>
      </c>
      <c r="AS68" s="54"/>
      <c r="AT68" s="65"/>
      <c r="AU68" s="69"/>
      <c r="AW68" s="69">
        <f t="shared" si="10"/>
        <v>0</v>
      </c>
      <c r="AX68" s="69">
        <f t="shared" si="10"/>
        <v>0</v>
      </c>
      <c r="AY68" s="69">
        <f t="shared" si="11"/>
        <v>0</v>
      </c>
      <c r="AZ68" s="55">
        <f t="shared" si="31"/>
        <v>0</v>
      </c>
      <c r="BA68" s="69">
        <f t="shared" si="32"/>
        <v>0</v>
      </c>
      <c r="BB68" s="501"/>
      <c r="BE68" s="501"/>
      <c r="BF68" s="221"/>
      <c r="BG68" s="365">
        <f t="shared" si="15"/>
        <v>0</v>
      </c>
      <c r="BH68" s="223">
        <f t="shared" si="34"/>
        <v>0</v>
      </c>
      <c r="BI68" s="55"/>
      <c r="BJ68" s="55"/>
      <c r="BK68" s="65"/>
      <c r="BL68" s="69">
        <f t="shared" si="12"/>
        <v>0</v>
      </c>
      <c r="BM68" s="54"/>
      <c r="BN68" s="54"/>
      <c r="BO68" s="576"/>
      <c r="BP68" s="576">
        <f t="shared" si="17"/>
        <v>0</v>
      </c>
      <c r="BQ68" s="69">
        <f t="shared" si="35"/>
        <v>0</v>
      </c>
      <c r="BR68" s="55"/>
      <c r="BS68" s="55"/>
      <c r="BT68" s="223"/>
      <c r="BU68" s="223">
        <v>840000</v>
      </c>
      <c r="BV68" s="347">
        <v>1000000</v>
      </c>
    </row>
    <row r="69" spans="1:74" ht="15.75" x14ac:dyDescent="0.25">
      <c r="A69" s="54" t="s">
        <v>49</v>
      </c>
      <c r="B69" s="446" t="s">
        <v>158</v>
      </c>
      <c r="C69" s="55">
        <v>5420129</v>
      </c>
      <c r="D69" s="55">
        <v>5071627</v>
      </c>
      <c r="E69" s="55">
        <v>5718701</v>
      </c>
      <c r="F69" s="55">
        <f>1805934+1107194</f>
        <v>2913128</v>
      </c>
      <c r="G69" s="55">
        <v>2641029</v>
      </c>
      <c r="H69" s="55">
        <v>2240612</v>
      </c>
      <c r="I69" s="55">
        <f t="shared" si="2"/>
        <v>2444304</v>
      </c>
      <c r="J69" s="55">
        <v>3200000</v>
      </c>
      <c r="K69" s="55">
        <v>3200000</v>
      </c>
      <c r="L69" s="55">
        <f>2000000+1200000</f>
        <v>3200000</v>
      </c>
      <c r="M69" s="55">
        <f t="shared" si="3"/>
        <v>130.91661266356394</v>
      </c>
      <c r="N69" s="54"/>
      <c r="O69" s="55">
        <v>4220000</v>
      </c>
      <c r="P69" s="55">
        <v>3607666</v>
      </c>
      <c r="Q69" s="55">
        <v>3905129</v>
      </c>
      <c r="R69" s="55">
        <f t="shared" si="36"/>
        <v>3200000</v>
      </c>
      <c r="S69" s="55">
        <v>5020000</v>
      </c>
      <c r="T69" s="55">
        <v>4472049</v>
      </c>
      <c r="U69" s="55">
        <v>3200000</v>
      </c>
      <c r="V69" s="69">
        <f t="shared" si="4"/>
        <v>3200000</v>
      </c>
      <c r="W69" s="69">
        <f t="shared" si="5"/>
        <v>3200000</v>
      </c>
      <c r="X69" s="122">
        <f t="shared" si="18"/>
        <v>139.75153125</v>
      </c>
      <c r="Y69" s="54"/>
      <c r="Z69" s="207">
        <f t="shared" si="6"/>
        <v>0.71555566587038733</v>
      </c>
      <c r="AA69" s="69">
        <f t="shared" si="7"/>
        <v>3200000</v>
      </c>
      <c r="AB69" s="55">
        <v>4127788</v>
      </c>
      <c r="AC69" s="55">
        <v>4443447</v>
      </c>
      <c r="AD69" s="55">
        <v>4902690</v>
      </c>
      <c r="AE69" s="123">
        <f t="shared" si="23"/>
        <v>153.20906249999999</v>
      </c>
      <c r="AF69" s="65">
        <v>8045901</v>
      </c>
      <c r="AG69" s="65">
        <v>5492374</v>
      </c>
      <c r="AH69" s="215">
        <f t="shared" si="30"/>
        <v>6590848.8000000007</v>
      </c>
      <c r="AI69" s="216">
        <f>AH69*1.02+2304000</f>
        <v>9026665.7760000005</v>
      </c>
      <c r="AJ69" s="55"/>
      <c r="AK69" s="69">
        <f t="shared" si="9"/>
        <v>9026665.7760000005</v>
      </c>
      <c r="AL69" s="54"/>
      <c r="AM69" s="347">
        <v>6342207</v>
      </c>
      <c r="AN69" s="349">
        <v>8362780</v>
      </c>
      <c r="AO69" s="354">
        <v>4884957</v>
      </c>
      <c r="AP69" s="55">
        <v>8362780</v>
      </c>
      <c r="AQ69" s="55">
        <v>6372364</v>
      </c>
      <c r="AR69" s="69">
        <f t="shared" si="14"/>
        <v>1990416</v>
      </c>
      <c r="AS69" s="54">
        <f t="shared" si="19"/>
        <v>76.199110821999383</v>
      </c>
      <c r="AT69" s="65">
        <v>7219619</v>
      </c>
      <c r="AU69" s="69">
        <f>AP69-AT69</f>
        <v>1143161</v>
      </c>
      <c r="AV69" s="54">
        <f>AU69/AP69*100</f>
        <v>13.669628998969241</v>
      </c>
      <c r="AW69" s="69">
        <v>9026666</v>
      </c>
      <c r="AX69" s="69">
        <v>9026666</v>
      </c>
      <c r="AY69" s="69">
        <f t="shared" si="11"/>
        <v>9026666</v>
      </c>
      <c r="AZ69" s="55">
        <f t="shared" si="31"/>
        <v>9026666</v>
      </c>
      <c r="BA69" s="69">
        <f t="shared" si="32"/>
        <v>9026666</v>
      </c>
      <c r="BB69" s="501">
        <v>9026666</v>
      </c>
      <c r="BC69" s="501">
        <v>8064097</v>
      </c>
      <c r="BD69" s="501">
        <v>3429680</v>
      </c>
      <c r="BE69" s="501">
        <v>3981749</v>
      </c>
      <c r="BF69" s="221">
        <v>4929838</v>
      </c>
      <c r="BG69" s="365">
        <f t="shared" si="15"/>
        <v>5915805.5999999996</v>
      </c>
      <c r="BH69" s="223">
        <f t="shared" si="34"/>
        <v>9748799.2800000012</v>
      </c>
      <c r="BI69" s="55">
        <v>17212426</v>
      </c>
      <c r="BJ69" s="55">
        <v>3757545</v>
      </c>
      <c r="BK69" s="65">
        <v>6287054</v>
      </c>
      <c r="BL69" s="69">
        <f t="shared" si="12"/>
        <v>7544464.8000000007</v>
      </c>
      <c r="BM69" s="69">
        <v>7000000</v>
      </c>
      <c r="BN69" s="69">
        <v>7000000</v>
      </c>
      <c r="BO69" s="673">
        <v>7201030</v>
      </c>
      <c r="BP69" s="576">
        <f t="shared" si="17"/>
        <v>8641236</v>
      </c>
      <c r="BQ69" s="69">
        <f t="shared" si="35"/>
        <v>9505359.6000000015</v>
      </c>
      <c r="BR69" s="55">
        <v>11000000</v>
      </c>
      <c r="BS69" s="55">
        <v>11000000</v>
      </c>
      <c r="BT69" s="223">
        <f>11000000-1536000</f>
        <v>9464000</v>
      </c>
      <c r="BU69" s="223">
        <v>5650000</v>
      </c>
      <c r="BV69" s="347">
        <v>5600000</v>
      </c>
    </row>
    <row r="70" spans="1:74" x14ac:dyDescent="0.25">
      <c r="A70" s="54" t="s">
        <v>50</v>
      </c>
      <c r="B70" s="446" t="s">
        <v>159</v>
      </c>
      <c r="C70" s="55">
        <v>275170</v>
      </c>
      <c r="D70" s="55">
        <v>15010</v>
      </c>
      <c r="E70" s="55">
        <v>275170</v>
      </c>
      <c r="F70" s="55">
        <v>34725</v>
      </c>
      <c r="G70" s="55">
        <v>275170</v>
      </c>
      <c r="H70" s="55">
        <v>42930</v>
      </c>
      <c r="I70" s="55">
        <f t="shared" si="2"/>
        <v>46832.727272727272</v>
      </c>
      <c r="J70" s="55">
        <v>100000</v>
      </c>
      <c r="K70" s="55">
        <v>100000</v>
      </c>
      <c r="L70" s="55">
        <v>100000</v>
      </c>
      <c r="M70" s="55">
        <f t="shared" si="3"/>
        <v>213.52589486761394</v>
      </c>
      <c r="N70" s="54"/>
      <c r="O70" s="55">
        <v>150000</v>
      </c>
      <c r="P70" s="55">
        <v>92710</v>
      </c>
      <c r="Q70" s="55">
        <v>95095</v>
      </c>
      <c r="R70" s="55">
        <f t="shared" si="36"/>
        <v>100000</v>
      </c>
      <c r="S70" s="55">
        <v>150000</v>
      </c>
      <c r="T70" s="55">
        <v>120940</v>
      </c>
      <c r="U70" s="55">
        <v>100000</v>
      </c>
      <c r="V70" s="69">
        <f t="shared" si="4"/>
        <v>100000</v>
      </c>
      <c r="W70" s="69">
        <f t="shared" si="5"/>
        <v>100000</v>
      </c>
      <c r="X70" s="122">
        <f t="shared" si="18"/>
        <v>120.94</v>
      </c>
      <c r="Y70" s="54"/>
      <c r="Z70" s="207">
        <f t="shared" si="6"/>
        <v>0.82685629237638503</v>
      </c>
      <c r="AA70" s="69">
        <f t="shared" si="7"/>
        <v>100000</v>
      </c>
      <c r="AB70" s="55">
        <v>39770</v>
      </c>
      <c r="AC70" s="55">
        <v>44565</v>
      </c>
      <c r="AD70" s="55">
        <v>62020</v>
      </c>
      <c r="AE70" s="123">
        <f t="shared" si="23"/>
        <v>62.019999999999996</v>
      </c>
      <c r="AF70" s="65">
        <v>103000</v>
      </c>
      <c r="AG70" s="65">
        <v>87368</v>
      </c>
      <c r="AH70" s="215">
        <f t="shared" si="30"/>
        <v>104841.59999999999</v>
      </c>
      <c r="AI70" s="216">
        <f t="shared" si="33"/>
        <v>106938.43199999999</v>
      </c>
      <c r="AJ70" s="55"/>
      <c r="AK70" s="69">
        <f t="shared" si="9"/>
        <v>106938.43199999999</v>
      </c>
      <c r="AL70" s="54"/>
      <c r="AM70" s="347">
        <v>141240</v>
      </c>
      <c r="AN70" s="349">
        <v>106938</v>
      </c>
      <c r="AO70" s="354">
        <v>39625</v>
      </c>
      <c r="AP70" s="55">
        <v>66938</v>
      </c>
      <c r="AQ70" s="55">
        <v>49235</v>
      </c>
      <c r="AR70" s="69">
        <f t="shared" si="14"/>
        <v>17703</v>
      </c>
      <c r="AS70" s="54">
        <f t="shared" si="19"/>
        <v>73.553138725387669</v>
      </c>
      <c r="AT70" s="65">
        <v>50770</v>
      </c>
      <c r="AU70" s="69">
        <f>AP70-AT70</f>
        <v>16168</v>
      </c>
      <c r="AV70" s="54">
        <f>AU70/AP70*100</f>
        <v>24.153694463533419</v>
      </c>
      <c r="AW70" s="69">
        <v>106938</v>
      </c>
      <c r="AX70" s="69">
        <v>106938</v>
      </c>
      <c r="AY70" s="69">
        <f t="shared" si="11"/>
        <v>106938</v>
      </c>
      <c r="AZ70" s="55">
        <f t="shared" si="31"/>
        <v>106938</v>
      </c>
      <c r="BA70" s="69">
        <f t="shared" si="32"/>
        <v>106938</v>
      </c>
      <c r="BB70" s="501"/>
      <c r="BC70" s="501">
        <v>106940</v>
      </c>
      <c r="BD70" s="501">
        <v>0</v>
      </c>
      <c r="BE70" s="501"/>
      <c r="BF70" s="221">
        <v>16655</v>
      </c>
      <c r="BG70" s="365">
        <f t="shared" si="15"/>
        <v>19986</v>
      </c>
      <c r="BH70" s="223">
        <f t="shared" si="34"/>
        <v>0</v>
      </c>
      <c r="BI70" s="55">
        <v>120000</v>
      </c>
      <c r="BJ70" s="55">
        <v>78055</v>
      </c>
      <c r="BK70" s="65">
        <v>241900</v>
      </c>
      <c r="BL70" s="69">
        <f t="shared" si="12"/>
        <v>290280</v>
      </c>
      <c r="BM70" s="69">
        <v>200000</v>
      </c>
      <c r="BN70" s="69">
        <v>200000</v>
      </c>
      <c r="BO70" s="576">
        <v>141875</v>
      </c>
      <c r="BP70" s="576">
        <f t="shared" si="17"/>
        <v>170250</v>
      </c>
      <c r="BQ70" s="69">
        <f t="shared" si="35"/>
        <v>187275.00000000003</v>
      </c>
      <c r="BR70" s="55">
        <v>187275</v>
      </c>
      <c r="BS70" s="55">
        <v>187275</v>
      </c>
      <c r="BT70" s="223">
        <v>187275</v>
      </c>
      <c r="BU70" s="223">
        <v>400000</v>
      </c>
      <c r="BV70" s="227">
        <v>200000</v>
      </c>
    </row>
    <row r="71" spans="1:74" x14ac:dyDescent="0.25">
      <c r="A71" s="54" t="s">
        <v>257</v>
      </c>
      <c r="B71" s="446" t="s">
        <v>258</v>
      </c>
      <c r="C71" s="55"/>
      <c r="D71" s="55"/>
      <c r="E71" s="55"/>
      <c r="F71" s="55"/>
      <c r="G71" s="55"/>
      <c r="H71" s="55"/>
      <c r="I71" s="55">
        <f t="shared" si="2"/>
        <v>0</v>
      </c>
      <c r="J71" s="55"/>
      <c r="K71" s="55"/>
      <c r="L71" s="55"/>
      <c r="M71" s="55">
        <f t="shared" si="3"/>
        <v>0</v>
      </c>
      <c r="N71" s="54"/>
      <c r="O71" s="55"/>
      <c r="P71" s="55"/>
      <c r="Q71" s="55"/>
      <c r="R71" s="55">
        <f t="shared" si="36"/>
        <v>0</v>
      </c>
      <c r="S71" s="55"/>
      <c r="T71" s="55"/>
      <c r="U71" s="55">
        <v>0</v>
      </c>
      <c r="V71" s="69">
        <f t="shared" si="4"/>
        <v>0</v>
      </c>
      <c r="W71" s="69">
        <f t="shared" si="5"/>
        <v>0</v>
      </c>
      <c r="X71" s="122"/>
      <c r="Y71" s="54"/>
      <c r="Z71" s="207" t="e">
        <f t="shared" si="6"/>
        <v>#DIV/0!</v>
      </c>
      <c r="AA71" s="69">
        <f t="shared" si="7"/>
        <v>0</v>
      </c>
      <c r="AB71" s="55"/>
      <c r="AC71" s="55"/>
      <c r="AD71" s="55"/>
      <c r="AE71" s="123"/>
      <c r="AF71" s="65"/>
      <c r="AG71" s="65"/>
      <c r="AH71" s="215">
        <f t="shared" si="30"/>
        <v>0</v>
      </c>
      <c r="AI71" s="216">
        <f t="shared" si="33"/>
        <v>0</v>
      </c>
      <c r="AJ71" s="55"/>
      <c r="AK71" s="69">
        <f t="shared" si="9"/>
        <v>0</v>
      </c>
      <c r="AL71" s="54"/>
      <c r="AM71" s="347"/>
      <c r="AN71" s="349"/>
      <c r="AO71" s="354"/>
      <c r="AR71" s="69">
        <f t="shared" si="14"/>
        <v>0</v>
      </c>
      <c r="AS71" s="54"/>
      <c r="AT71" s="65"/>
      <c r="AU71" s="69"/>
      <c r="AW71" s="69">
        <f t="shared" si="10"/>
        <v>0</v>
      </c>
      <c r="AX71" s="69">
        <f t="shared" si="10"/>
        <v>0</v>
      </c>
      <c r="AY71" s="69">
        <f t="shared" ref="AY71:AY102" si="37">AX71</f>
        <v>0</v>
      </c>
      <c r="AZ71" s="55">
        <f t="shared" si="31"/>
        <v>0</v>
      </c>
      <c r="BA71" s="69">
        <f t="shared" si="32"/>
        <v>0</v>
      </c>
      <c r="BB71" s="501"/>
      <c r="BE71" s="501"/>
      <c r="BF71" s="221"/>
      <c r="BG71" s="365">
        <f t="shared" si="15"/>
        <v>0</v>
      </c>
      <c r="BH71" s="223">
        <f t="shared" si="34"/>
        <v>0</v>
      </c>
      <c r="BI71" s="55"/>
      <c r="BJ71" s="55"/>
      <c r="BK71" s="65"/>
      <c r="BL71" s="69">
        <f t="shared" ref="BL71:BL101" si="38">BK71/10*12</f>
        <v>0</v>
      </c>
      <c r="BM71" s="54"/>
      <c r="BN71" s="54"/>
      <c r="BO71" s="576"/>
      <c r="BP71" s="576">
        <f t="shared" si="17"/>
        <v>0</v>
      </c>
      <c r="BQ71" s="69">
        <f t="shared" si="35"/>
        <v>0</v>
      </c>
      <c r="BR71" s="55"/>
      <c r="BS71" s="55"/>
      <c r="BT71" s="223"/>
      <c r="BU71" s="223"/>
      <c r="BV71" s="347"/>
    </row>
    <row r="72" spans="1:74" x14ac:dyDescent="0.25">
      <c r="A72" s="54" t="s">
        <v>51</v>
      </c>
      <c r="B72" s="446" t="s">
        <v>160</v>
      </c>
      <c r="C72" s="55">
        <v>2670298</v>
      </c>
      <c r="D72" s="55">
        <v>1766673</v>
      </c>
      <c r="E72" s="55">
        <v>1940700</v>
      </c>
      <c r="F72" s="55">
        <v>1168601</v>
      </c>
      <c r="G72" s="55">
        <v>2187357</v>
      </c>
      <c r="H72" s="55">
        <v>1243753</v>
      </c>
      <c r="I72" s="55">
        <f t="shared" si="2"/>
        <v>1356821.4545454546</v>
      </c>
      <c r="J72" s="55">
        <v>2349000</v>
      </c>
      <c r="K72" s="55">
        <v>1566000</v>
      </c>
      <c r="L72" s="55">
        <f>SUM(L56:L69)*0.18</f>
        <v>1566000</v>
      </c>
      <c r="M72" s="55">
        <f t="shared" si="3"/>
        <v>115.4168070348373</v>
      </c>
      <c r="N72" s="54"/>
      <c r="O72" s="55">
        <v>1842000</v>
      </c>
      <c r="P72" s="55">
        <v>1393136</v>
      </c>
      <c r="Q72" s="55">
        <v>1507045</v>
      </c>
      <c r="R72" s="55">
        <f t="shared" si="36"/>
        <v>1566000</v>
      </c>
      <c r="S72" s="55">
        <v>2078500</v>
      </c>
      <c r="T72" s="55">
        <v>1650776</v>
      </c>
      <c r="U72" s="55">
        <f>SUM(U56:U69)*0.18</f>
        <v>1584000</v>
      </c>
      <c r="V72" s="55">
        <f t="shared" ref="V72:W72" si="39">SUM(V56:V69)*0.18</f>
        <v>1584000</v>
      </c>
      <c r="W72" s="55">
        <f t="shared" si="39"/>
        <v>1584000</v>
      </c>
      <c r="X72" s="122">
        <f t="shared" si="18"/>
        <v>104.21565656565657</v>
      </c>
      <c r="Y72" s="54"/>
      <c r="Z72" s="207">
        <f t="shared" si="6"/>
        <v>0.95954872132863578</v>
      </c>
      <c r="AA72" s="69">
        <f>SUM(AA56:AA69)*0.18</f>
        <v>1584000</v>
      </c>
      <c r="AB72" s="55">
        <v>1202242</v>
      </c>
      <c r="AC72" s="55">
        <v>1444270</v>
      </c>
      <c r="AD72" s="55">
        <v>1575517</v>
      </c>
      <c r="AE72" s="123">
        <f t="shared" si="23"/>
        <v>99.46445707070707</v>
      </c>
      <c r="AF72" s="65">
        <v>2334000</v>
      </c>
      <c r="AG72" s="65">
        <v>1702185</v>
      </c>
      <c r="AH72" s="215">
        <f t="shared" si="30"/>
        <v>2042622</v>
      </c>
      <c r="AI72" s="216">
        <f t="shared" si="33"/>
        <v>2083474.44</v>
      </c>
      <c r="AJ72" s="55">
        <v>2633669</v>
      </c>
      <c r="AK72" s="69">
        <f t="shared" ref="AK72:AK102" si="40">AI72</f>
        <v>2083474.44</v>
      </c>
      <c r="AL72" s="54"/>
      <c r="AM72" s="347">
        <v>1927568</v>
      </c>
      <c r="AN72" s="349">
        <v>1983474</v>
      </c>
      <c r="AO72" s="354">
        <v>1121482</v>
      </c>
      <c r="AP72" s="55">
        <v>1983474</v>
      </c>
      <c r="AQ72" s="55">
        <v>1450600</v>
      </c>
      <c r="AR72" s="69">
        <f t="shared" si="14"/>
        <v>532874</v>
      </c>
      <c r="AS72" s="54">
        <f t="shared" si="19"/>
        <v>73.134308793561203</v>
      </c>
      <c r="AT72" s="65">
        <v>1716872</v>
      </c>
      <c r="AU72" s="69">
        <f>AP72-AT72</f>
        <v>266602</v>
      </c>
      <c r="AV72" s="54">
        <f>AU72/AP72*100</f>
        <v>13.441164340949264</v>
      </c>
      <c r="AW72" s="69">
        <v>2083474</v>
      </c>
      <c r="AX72" s="69">
        <v>2083475</v>
      </c>
      <c r="AY72" s="69">
        <f t="shared" si="37"/>
        <v>2083475</v>
      </c>
      <c r="AZ72" s="55">
        <f t="shared" si="31"/>
        <v>2083475</v>
      </c>
      <c r="BA72" s="69">
        <f t="shared" si="32"/>
        <v>2083475</v>
      </c>
      <c r="BB72" s="501">
        <v>2083474</v>
      </c>
      <c r="BC72" s="501">
        <v>2083474</v>
      </c>
      <c r="BD72" s="501">
        <v>926124</v>
      </c>
      <c r="BE72" s="501">
        <v>1128277</v>
      </c>
      <c r="BF72" s="221">
        <v>1250893</v>
      </c>
      <c r="BG72" s="365">
        <f t="shared" si="15"/>
        <v>1501071.6</v>
      </c>
      <c r="BH72" s="223">
        <f t="shared" si="34"/>
        <v>2250151.92</v>
      </c>
      <c r="BI72" s="55">
        <v>2250152</v>
      </c>
      <c r="BJ72" s="55">
        <v>1158355</v>
      </c>
      <c r="BK72" s="65">
        <v>1822596</v>
      </c>
      <c r="BL72" s="69">
        <f t="shared" si="38"/>
        <v>2187115.2000000002</v>
      </c>
      <c r="BM72" s="69">
        <f>SUM(BM56:BM70)*0.18</f>
        <v>3204000</v>
      </c>
      <c r="BN72" s="69">
        <f>SUM(BN56:BN70)*0.18</f>
        <v>3204000</v>
      </c>
      <c r="BO72" s="576">
        <v>1802816</v>
      </c>
      <c r="BP72" s="576">
        <f t="shared" si="17"/>
        <v>2163379.2000000002</v>
      </c>
      <c r="BQ72" s="69">
        <f t="shared" si="35"/>
        <v>2379717.1200000006</v>
      </c>
      <c r="BR72" s="55">
        <v>2379717</v>
      </c>
      <c r="BS72" s="55">
        <v>2379717</v>
      </c>
      <c r="BT72" s="223">
        <v>2379717</v>
      </c>
      <c r="BU72" s="223">
        <v>3200000</v>
      </c>
      <c r="BV72" s="347">
        <v>3000000</v>
      </c>
    </row>
    <row r="73" spans="1:74" x14ac:dyDescent="0.25">
      <c r="A73" s="54" t="s">
        <v>237</v>
      </c>
      <c r="B73" s="446" t="s">
        <v>238</v>
      </c>
      <c r="C73" s="55">
        <v>0</v>
      </c>
      <c r="D73" s="55"/>
      <c r="E73" s="55"/>
      <c r="F73" s="55"/>
      <c r="G73" s="55"/>
      <c r="H73" s="55"/>
      <c r="I73" s="55">
        <f t="shared" si="2"/>
        <v>0</v>
      </c>
      <c r="J73" s="55"/>
      <c r="K73" s="55"/>
      <c r="L73" s="55"/>
      <c r="M73" s="55">
        <f t="shared" si="3"/>
        <v>0</v>
      </c>
      <c r="N73" s="54"/>
      <c r="O73" s="55"/>
      <c r="P73" s="55"/>
      <c r="Q73" s="55"/>
      <c r="R73" s="55">
        <f t="shared" si="36"/>
        <v>0</v>
      </c>
      <c r="S73" s="55"/>
      <c r="T73" s="55"/>
      <c r="U73" s="55">
        <v>0</v>
      </c>
      <c r="V73" s="69">
        <f t="shared" si="4"/>
        <v>0</v>
      </c>
      <c r="W73" s="69">
        <f t="shared" si="5"/>
        <v>0</v>
      </c>
      <c r="X73" s="122"/>
      <c r="Y73" s="54"/>
      <c r="Z73" s="207"/>
      <c r="AA73" s="69">
        <f t="shared" si="7"/>
        <v>0</v>
      </c>
      <c r="AB73" s="55"/>
      <c r="AC73" s="55"/>
      <c r="AD73" s="55"/>
      <c r="AE73" s="123"/>
      <c r="AF73" s="65">
        <v>100000</v>
      </c>
      <c r="AG73" s="65"/>
      <c r="AH73" s="215">
        <f t="shared" si="30"/>
        <v>0</v>
      </c>
      <c r="AI73" s="216">
        <f t="shared" si="33"/>
        <v>0</v>
      </c>
      <c r="AJ73" s="55"/>
      <c r="AK73" s="69">
        <f t="shared" si="40"/>
        <v>0</v>
      </c>
      <c r="AL73" s="54"/>
      <c r="AM73" s="347"/>
      <c r="AN73" s="349">
        <v>100000</v>
      </c>
      <c r="AO73" s="354"/>
      <c r="AP73" s="55">
        <v>100000</v>
      </c>
      <c r="AR73" s="69">
        <f t="shared" si="14"/>
        <v>100000</v>
      </c>
      <c r="AS73" s="54">
        <f t="shared" si="19"/>
        <v>0</v>
      </c>
      <c r="AT73" s="382"/>
      <c r="AU73" s="69">
        <f>AP73-AT73</f>
        <v>100000</v>
      </c>
      <c r="AV73" s="54">
        <f>AU73/AP73*100</f>
        <v>100</v>
      </c>
      <c r="AW73" s="69"/>
      <c r="AX73" s="381"/>
      <c r="AY73" s="69">
        <f t="shared" si="37"/>
        <v>0</v>
      </c>
      <c r="AZ73" s="55">
        <f t="shared" ref="AZ73:AZ89" si="41">AY73</f>
        <v>0</v>
      </c>
      <c r="BA73" s="69">
        <f t="shared" si="32"/>
        <v>0</v>
      </c>
      <c r="BB73" s="501"/>
      <c r="BC73" s="501">
        <v>100000</v>
      </c>
      <c r="BE73" s="501"/>
      <c r="BF73" s="221"/>
      <c r="BG73" s="365">
        <f t="shared" si="15"/>
        <v>0</v>
      </c>
      <c r="BH73" s="223">
        <f t="shared" si="34"/>
        <v>0</v>
      </c>
      <c r="BI73" s="55">
        <v>100000</v>
      </c>
      <c r="BJ73" s="55"/>
      <c r="BK73" s="65"/>
      <c r="BL73" s="69">
        <f t="shared" si="38"/>
        <v>0</v>
      </c>
      <c r="BM73" s="54"/>
      <c r="BN73" s="54"/>
      <c r="BO73" s="576"/>
      <c r="BP73" s="576">
        <f t="shared" si="17"/>
        <v>0</v>
      </c>
      <c r="BQ73" s="69">
        <f t="shared" si="35"/>
        <v>0</v>
      </c>
      <c r="BR73" s="55"/>
      <c r="BS73" s="55"/>
      <c r="BT73" s="223"/>
      <c r="BU73" s="223"/>
      <c r="BV73" s="347"/>
    </row>
    <row r="74" spans="1:74" x14ac:dyDescent="0.25">
      <c r="A74" s="54" t="s">
        <v>52</v>
      </c>
      <c r="B74" s="58" t="s">
        <v>199</v>
      </c>
      <c r="C74" s="55">
        <v>847</v>
      </c>
      <c r="D74" s="55">
        <v>41412</v>
      </c>
      <c r="E74" s="55">
        <v>847</v>
      </c>
      <c r="F74" s="55"/>
      <c r="G74" s="55">
        <v>847</v>
      </c>
      <c r="H74" s="55">
        <v>0</v>
      </c>
      <c r="I74" s="55">
        <f t="shared" si="2"/>
        <v>0</v>
      </c>
      <c r="J74" s="55"/>
      <c r="K74" s="55"/>
      <c r="L74" s="55"/>
      <c r="M74" s="55">
        <f t="shared" si="3"/>
        <v>0</v>
      </c>
      <c r="N74" s="54"/>
      <c r="O74" s="55"/>
      <c r="P74" s="55"/>
      <c r="Q74" s="55"/>
      <c r="R74" s="55">
        <f t="shared" si="36"/>
        <v>0</v>
      </c>
      <c r="S74" s="55"/>
      <c r="T74" s="55"/>
      <c r="U74" s="55">
        <v>0</v>
      </c>
      <c r="V74" s="69">
        <f t="shared" si="4"/>
        <v>0</v>
      </c>
      <c r="W74" s="69">
        <f t="shared" si="5"/>
        <v>0</v>
      </c>
      <c r="X74" s="122"/>
      <c r="Y74" s="54"/>
      <c r="Z74" s="207"/>
      <c r="AA74" s="69">
        <f t="shared" si="7"/>
        <v>0</v>
      </c>
      <c r="AB74" s="55"/>
      <c r="AC74" s="55"/>
      <c r="AD74" s="55"/>
      <c r="AE74" s="123"/>
      <c r="AF74" s="65"/>
      <c r="AG74" s="65"/>
      <c r="AH74" s="215">
        <f t="shared" si="30"/>
        <v>0</v>
      </c>
      <c r="AI74" s="216">
        <f t="shared" si="33"/>
        <v>0</v>
      </c>
      <c r="AJ74" s="55"/>
      <c r="AK74" s="69">
        <f t="shared" si="40"/>
        <v>0</v>
      </c>
      <c r="AL74" s="54"/>
      <c r="AM74" s="347"/>
      <c r="AN74" s="349"/>
      <c r="AO74" s="354"/>
      <c r="AR74" s="69">
        <f t="shared" si="14"/>
        <v>0</v>
      </c>
      <c r="AS74" s="54"/>
      <c r="AT74" s="65"/>
      <c r="AU74" s="69"/>
      <c r="AW74" s="69"/>
      <c r="AX74" s="55"/>
      <c r="AY74" s="69">
        <f t="shared" si="37"/>
        <v>0</v>
      </c>
      <c r="AZ74" s="55">
        <f t="shared" si="41"/>
        <v>0</v>
      </c>
      <c r="BA74" s="69">
        <f t="shared" si="32"/>
        <v>0</v>
      </c>
      <c r="BB74" s="501"/>
      <c r="BE74" s="501"/>
      <c r="BF74" s="221"/>
      <c r="BG74" s="365">
        <f t="shared" si="15"/>
        <v>0</v>
      </c>
      <c r="BH74" s="223">
        <f t="shared" si="34"/>
        <v>0</v>
      </c>
      <c r="BI74" s="55"/>
      <c r="BJ74" s="55"/>
      <c r="BK74" s="65"/>
      <c r="BL74" s="69">
        <f t="shared" si="38"/>
        <v>0</v>
      </c>
      <c r="BM74" s="54"/>
      <c r="BN74" s="54"/>
      <c r="BO74" s="576"/>
      <c r="BP74" s="576">
        <f t="shared" si="17"/>
        <v>0</v>
      </c>
      <c r="BQ74" s="69">
        <f t="shared" si="35"/>
        <v>0</v>
      </c>
      <c r="BR74" s="55"/>
      <c r="BS74" s="55"/>
      <c r="BT74" s="223"/>
      <c r="BU74" s="223"/>
      <c r="BV74" s="347"/>
    </row>
    <row r="75" spans="1:74" x14ac:dyDescent="0.25">
      <c r="A75" s="54" t="s">
        <v>562</v>
      </c>
      <c r="B75" s="58" t="s">
        <v>563</v>
      </c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4"/>
      <c r="O75" s="55"/>
      <c r="P75" s="55"/>
      <c r="Q75" s="55"/>
      <c r="R75" s="55"/>
      <c r="S75" s="55"/>
      <c r="T75" s="55"/>
      <c r="U75" s="55"/>
      <c r="V75" s="69"/>
      <c r="W75" s="69"/>
      <c r="X75" s="122"/>
      <c r="Y75" s="54"/>
      <c r="Z75" s="207"/>
      <c r="AA75" s="69"/>
      <c r="AB75" s="55"/>
      <c r="AC75" s="55"/>
      <c r="AD75" s="55"/>
      <c r="AE75" s="123"/>
      <c r="AF75" s="65"/>
      <c r="AG75" s="65"/>
      <c r="AH75" s="215"/>
      <c r="AJ75" s="55"/>
      <c r="AK75" s="69"/>
      <c r="AL75" s="54"/>
      <c r="AM75" s="347"/>
      <c r="AN75" s="349"/>
      <c r="AO75" s="354"/>
      <c r="AR75" s="69">
        <f t="shared" si="14"/>
        <v>0</v>
      </c>
      <c r="AS75" s="54"/>
      <c r="AT75" s="65"/>
      <c r="AU75" s="69"/>
      <c r="AW75" s="69"/>
      <c r="AX75" s="55"/>
      <c r="AY75" s="69">
        <f t="shared" si="37"/>
        <v>0</v>
      </c>
      <c r="AZ75" s="55">
        <f t="shared" si="41"/>
        <v>0</v>
      </c>
      <c r="BA75" s="69">
        <f t="shared" si="32"/>
        <v>0</v>
      </c>
      <c r="BB75" s="501"/>
      <c r="BE75" s="501"/>
      <c r="BF75" s="221"/>
      <c r="BG75" s="365">
        <f t="shared" si="15"/>
        <v>0</v>
      </c>
      <c r="BH75" s="223">
        <f t="shared" si="34"/>
        <v>0</v>
      </c>
      <c r="BI75" s="55"/>
      <c r="BJ75" s="55"/>
      <c r="BK75" s="65"/>
      <c r="BL75" s="69">
        <f t="shared" si="38"/>
        <v>0</v>
      </c>
      <c r="BM75" s="54"/>
      <c r="BN75" s="54"/>
      <c r="BO75" s="576"/>
      <c r="BP75" s="576">
        <f t="shared" si="17"/>
        <v>0</v>
      </c>
      <c r="BQ75" s="69">
        <f t="shared" si="35"/>
        <v>0</v>
      </c>
      <c r="BR75" s="55"/>
      <c r="BS75" s="55"/>
      <c r="BT75" s="223"/>
      <c r="BU75" s="223"/>
      <c r="BV75" s="347"/>
    </row>
    <row r="76" spans="1:74" x14ac:dyDescent="0.25">
      <c r="A76" s="54" t="s">
        <v>53</v>
      </c>
      <c r="B76" s="446" t="s">
        <v>161</v>
      </c>
      <c r="C76" s="55">
        <v>0</v>
      </c>
      <c r="D76" s="55">
        <v>0</v>
      </c>
      <c r="E76" s="55">
        <v>0</v>
      </c>
      <c r="F76" s="55">
        <v>2959741</v>
      </c>
      <c r="G76" s="55">
        <v>4990894</v>
      </c>
      <c r="H76" s="55">
        <v>2959741</v>
      </c>
      <c r="I76" s="55">
        <f t="shared" si="2"/>
        <v>3228808.3636363638</v>
      </c>
      <c r="J76" s="55">
        <v>3000000</v>
      </c>
      <c r="K76" s="55">
        <v>0</v>
      </c>
      <c r="L76" s="55">
        <v>0</v>
      </c>
      <c r="M76" s="55">
        <f t="shared" si="3"/>
        <v>0</v>
      </c>
      <c r="N76" s="54"/>
      <c r="O76" s="55"/>
      <c r="P76" s="55"/>
      <c r="Q76" s="55"/>
      <c r="R76" s="55">
        <f t="shared" si="36"/>
        <v>0</v>
      </c>
      <c r="S76" s="55"/>
      <c r="T76" s="55"/>
      <c r="U76" s="55">
        <v>0</v>
      </c>
      <c r="V76" s="69">
        <f t="shared" si="4"/>
        <v>0</v>
      </c>
      <c r="W76" s="69">
        <f t="shared" si="5"/>
        <v>0</v>
      </c>
      <c r="X76" s="122"/>
      <c r="Y76" s="54"/>
      <c r="Z76" s="207"/>
      <c r="AA76" s="69">
        <f t="shared" si="7"/>
        <v>0</v>
      </c>
      <c r="AB76" s="55"/>
      <c r="AC76" s="55"/>
      <c r="AD76" s="55"/>
      <c r="AE76" s="123"/>
      <c r="AF76" s="65"/>
      <c r="AG76" s="65"/>
      <c r="AH76" s="215">
        <f t="shared" si="30"/>
        <v>0</v>
      </c>
      <c r="AI76" s="216">
        <f t="shared" si="33"/>
        <v>0</v>
      </c>
      <c r="AJ76" s="55"/>
      <c r="AK76" s="69">
        <f t="shared" si="40"/>
        <v>0</v>
      </c>
      <c r="AL76" s="54"/>
      <c r="AM76" s="347"/>
      <c r="AN76" s="349"/>
      <c r="AO76" s="354"/>
      <c r="AR76" s="69">
        <f t="shared" si="14"/>
        <v>0</v>
      </c>
      <c r="AS76" s="54"/>
      <c r="AT76" s="65"/>
      <c r="AU76" s="69"/>
      <c r="AW76" s="69"/>
      <c r="AX76" s="55"/>
      <c r="AY76" s="69">
        <f t="shared" si="37"/>
        <v>0</v>
      </c>
      <c r="AZ76" s="55">
        <f t="shared" si="41"/>
        <v>0</v>
      </c>
      <c r="BA76" s="69">
        <f t="shared" si="32"/>
        <v>0</v>
      </c>
      <c r="BB76" s="501">
        <v>0</v>
      </c>
      <c r="BC76" s="501">
        <v>2106561</v>
      </c>
      <c r="BD76" s="501">
        <v>2106561</v>
      </c>
      <c r="BE76" s="501">
        <v>2106561</v>
      </c>
      <c r="BF76" s="221">
        <v>2106561</v>
      </c>
      <c r="BG76" s="365">
        <f t="shared" si="15"/>
        <v>2527873.2000000002</v>
      </c>
      <c r="BH76" s="223">
        <f t="shared" si="34"/>
        <v>0</v>
      </c>
      <c r="BI76" s="55"/>
      <c r="BJ76" s="55"/>
      <c r="BK76" s="65"/>
      <c r="BL76" s="69">
        <f t="shared" si="38"/>
        <v>0</v>
      </c>
      <c r="BM76" s="54"/>
      <c r="BN76" s="54"/>
      <c r="BO76" s="576">
        <v>1341137</v>
      </c>
      <c r="BP76" s="576">
        <f t="shared" si="17"/>
        <v>1609364.4000000001</v>
      </c>
      <c r="BQ76" s="69">
        <f t="shared" si="35"/>
        <v>1770300.8400000003</v>
      </c>
      <c r="BR76" s="55">
        <v>1770301</v>
      </c>
      <c r="BS76" s="55">
        <v>1770301</v>
      </c>
      <c r="BT76" s="223">
        <v>1770301</v>
      </c>
      <c r="BU76" s="223">
        <v>50000</v>
      </c>
      <c r="BV76" s="347">
        <v>10000</v>
      </c>
    </row>
    <row r="77" spans="1:74" x14ac:dyDescent="0.25">
      <c r="A77" s="54" t="s">
        <v>54</v>
      </c>
      <c r="B77" s="58" t="s">
        <v>200</v>
      </c>
      <c r="C77" s="55">
        <v>0</v>
      </c>
      <c r="D77" s="55">
        <v>0</v>
      </c>
      <c r="E77" s="55">
        <v>0</v>
      </c>
      <c r="F77" s="55"/>
      <c r="G77" s="55"/>
      <c r="H77" s="55"/>
      <c r="I77" s="55">
        <f t="shared" si="2"/>
        <v>0</v>
      </c>
      <c r="J77" s="55"/>
      <c r="K77" s="55"/>
      <c r="L77" s="55"/>
      <c r="M77" s="55">
        <f t="shared" si="3"/>
        <v>0</v>
      </c>
      <c r="N77" s="54"/>
      <c r="O77" s="55"/>
      <c r="P77" s="55"/>
      <c r="Q77" s="55"/>
      <c r="R77" s="55">
        <f t="shared" si="36"/>
        <v>0</v>
      </c>
      <c r="S77" s="55"/>
      <c r="T77" s="55"/>
      <c r="U77" s="55">
        <v>0</v>
      </c>
      <c r="V77" s="69">
        <f t="shared" ref="V77:V101" si="42">U77</f>
        <v>0</v>
      </c>
      <c r="W77" s="69">
        <f t="shared" ref="W77:W101" si="43">U77</f>
        <v>0</v>
      </c>
      <c r="X77" s="122"/>
      <c r="Y77" s="54"/>
      <c r="Z77" s="207"/>
      <c r="AA77" s="69">
        <f t="shared" ref="AA77:AA101" si="44">W77</f>
        <v>0</v>
      </c>
      <c r="AB77" s="55"/>
      <c r="AC77" s="55"/>
      <c r="AD77" s="55"/>
      <c r="AE77" s="123"/>
      <c r="AF77" s="65"/>
      <c r="AG77" s="65"/>
      <c r="AH77" s="215">
        <f t="shared" si="30"/>
        <v>0</v>
      </c>
      <c r="AI77" s="216">
        <f t="shared" si="33"/>
        <v>0</v>
      </c>
      <c r="AJ77" s="55"/>
      <c r="AK77" s="69">
        <f t="shared" si="40"/>
        <v>0</v>
      </c>
      <c r="AL77" s="54"/>
      <c r="AM77" s="347"/>
      <c r="AN77" s="349"/>
      <c r="AO77" s="354"/>
      <c r="AR77" s="69">
        <f t="shared" si="14"/>
        <v>0</v>
      </c>
      <c r="AS77" s="54"/>
      <c r="AT77" s="65"/>
      <c r="AU77" s="69"/>
      <c r="AW77" s="69"/>
      <c r="AX77" s="55"/>
      <c r="AY77" s="69">
        <f t="shared" si="37"/>
        <v>0</v>
      </c>
      <c r="AZ77" s="55">
        <f t="shared" si="41"/>
        <v>0</v>
      </c>
      <c r="BA77" s="69">
        <f t="shared" si="32"/>
        <v>0</v>
      </c>
      <c r="BB77" s="501"/>
      <c r="BE77" s="501"/>
      <c r="BF77" s="221"/>
      <c r="BG77" s="365">
        <f t="shared" si="15"/>
        <v>0</v>
      </c>
      <c r="BH77" s="223">
        <f t="shared" si="34"/>
        <v>0</v>
      </c>
      <c r="BI77" s="55"/>
      <c r="BJ77" s="55"/>
      <c r="BK77" s="65"/>
      <c r="BL77" s="69">
        <f t="shared" si="38"/>
        <v>0</v>
      </c>
      <c r="BM77" s="54"/>
      <c r="BN77" s="54"/>
      <c r="BO77" s="576"/>
      <c r="BP77" s="576">
        <f t="shared" si="17"/>
        <v>0</v>
      </c>
      <c r="BQ77" s="69">
        <f t="shared" si="35"/>
        <v>0</v>
      </c>
      <c r="BR77" s="55"/>
      <c r="BS77" s="55"/>
      <c r="BT77" s="223"/>
      <c r="BU77" s="223"/>
      <c r="BV77" s="347"/>
    </row>
    <row r="78" spans="1:74" x14ac:dyDescent="0.25">
      <c r="A78" s="54" t="s">
        <v>55</v>
      </c>
      <c r="B78" s="58" t="s">
        <v>201</v>
      </c>
      <c r="C78" s="55">
        <v>0</v>
      </c>
      <c r="D78" s="55">
        <v>0</v>
      </c>
      <c r="E78" s="55">
        <v>0</v>
      </c>
      <c r="F78" s="55"/>
      <c r="G78" s="55"/>
      <c r="H78" s="55"/>
      <c r="I78" s="55">
        <f t="shared" ref="I78:I108" si="45">H78/11+H78</f>
        <v>0</v>
      </c>
      <c r="J78" s="55"/>
      <c r="K78" s="55"/>
      <c r="L78" s="55"/>
      <c r="M78" s="55">
        <f t="shared" ref="M78:M108" si="46">IF(I78&lt;&gt;0,L78/I78*100,0)</f>
        <v>0</v>
      </c>
      <c r="N78" s="54"/>
      <c r="O78" s="55"/>
      <c r="P78" s="55"/>
      <c r="Q78" s="55"/>
      <c r="R78" s="55">
        <f t="shared" si="36"/>
        <v>0</v>
      </c>
      <c r="S78" s="55"/>
      <c r="T78" s="55"/>
      <c r="U78" s="55">
        <v>0</v>
      </c>
      <c r="V78" s="69">
        <f t="shared" si="42"/>
        <v>0</v>
      </c>
      <c r="W78" s="69">
        <f t="shared" si="43"/>
        <v>0</v>
      </c>
      <c r="X78" s="122"/>
      <c r="Y78" s="54"/>
      <c r="Z78" s="207"/>
      <c r="AA78" s="69">
        <f t="shared" si="44"/>
        <v>0</v>
      </c>
      <c r="AB78" s="55"/>
      <c r="AC78" s="55"/>
      <c r="AD78" s="55"/>
      <c r="AE78" s="123"/>
      <c r="AF78" s="65"/>
      <c r="AG78" s="65"/>
      <c r="AH78" s="215">
        <f t="shared" si="30"/>
        <v>0</v>
      </c>
      <c r="AI78" s="216">
        <f t="shared" si="33"/>
        <v>0</v>
      </c>
      <c r="AJ78" s="55"/>
      <c r="AK78" s="69">
        <f t="shared" si="40"/>
        <v>0</v>
      </c>
      <c r="AL78" s="54"/>
      <c r="AM78" s="347"/>
      <c r="AN78" s="349"/>
      <c r="AO78" s="354"/>
      <c r="AR78" s="69">
        <f t="shared" si="14"/>
        <v>0</v>
      </c>
      <c r="AS78" s="54"/>
      <c r="AT78" s="65"/>
      <c r="AU78" s="69"/>
      <c r="AW78" s="69"/>
      <c r="AX78" s="55"/>
      <c r="AY78" s="69">
        <f t="shared" si="37"/>
        <v>0</v>
      </c>
      <c r="AZ78" s="55">
        <f t="shared" si="41"/>
        <v>0</v>
      </c>
      <c r="BA78" s="69">
        <f t="shared" si="32"/>
        <v>0</v>
      </c>
      <c r="BB78" s="501"/>
      <c r="BE78" s="501"/>
      <c r="BF78" s="221"/>
      <c r="BG78" s="365">
        <f t="shared" si="15"/>
        <v>0</v>
      </c>
      <c r="BH78" s="223">
        <f t="shared" si="34"/>
        <v>0</v>
      </c>
      <c r="BI78" s="55"/>
      <c r="BJ78" s="55"/>
      <c r="BK78" s="65"/>
      <c r="BL78" s="69">
        <f t="shared" si="38"/>
        <v>0</v>
      </c>
      <c r="BM78" s="54"/>
      <c r="BN78" s="54"/>
      <c r="BO78" s="576"/>
      <c r="BP78" s="576">
        <f t="shared" si="17"/>
        <v>0</v>
      </c>
      <c r="BQ78" s="69">
        <f t="shared" si="35"/>
        <v>0</v>
      </c>
      <c r="BR78" s="55"/>
      <c r="BS78" s="55"/>
      <c r="BT78" s="223"/>
      <c r="BU78" s="223"/>
      <c r="BV78" s="347"/>
    </row>
    <row r="79" spans="1:74" x14ac:dyDescent="0.25">
      <c r="A79" s="54" t="s">
        <v>56</v>
      </c>
      <c r="B79" s="58" t="s">
        <v>202</v>
      </c>
      <c r="C79" s="55">
        <v>0</v>
      </c>
      <c r="D79" s="55">
        <v>0</v>
      </c>
      <c r="E79" s="55">
        <v>0</v>
      </c>
      <c r="F79" s="55"/>
      <c r="G79" s="55"/>
      <c r="H79" s="55"/>
      <c r="I79" s="55">
        <f t="shared" si="45"/>
        <v>0</v>
      </c>
      <c r="J79" s="55"/>
      <c r="K79" s="55"/>
      <c r="L79" s="55"/>
      <c r="M79" s="55">
        <f t="shared" si="46"/>
        <v>0</v>
      </c>
      <c r="N79" s="54"/>
      <c r="O79" s="55"/>
      <c r="P79" s="55"/>
      <c r="Q79" s="55"/>
      <c r="R79" s="55">
        <f t="shared" si="36"/>
        <v>0</v>
      </c>
      <c r="S79" s="55"/>
      <c r="T79" s="55"/>
      <c r="U79" s="55">
        <v>0</v>
      </c>
      <c r="V79" s="69">
        <f t="shared" si="42"/>
        <v>0</v>
      </c>
      <c r="W79" s="69">
        <f t="shared" si="43"/>
        <v>0</v>
      </c>
      <c r="X79" s="122"/>
      <c r="Y79" s="54"/>
      <c r="Z79" s="207"/>
      <c r="AA79" s="69">
        <f t="shared" si="44"/>
        <v>0</v>
      </c>
      <c r="AB79" s="55"/>
      <c r="AC79" s="55"/>
      <c r="AD79" s="55"/>
      <c r="AE79" s="123"/>
      <c r="AF79" s="65"/>
      <c r="AG79" s="65"/>
      <c r="AH79" s="215">
        <f t="shared" si="30"/>
        <v>0</v>
      </c>
      <c r="AI79" s="216">
        <f t="shared" si="33"/>
        <v>0</v>
      </c>
      <c r="AJ79" s="55"/>
      <c r="AK79" s="69">
        <f t="shared" si="40"/>
        <v>0</v>
      </c>
      <c r="AL79" s="54"/>
      <c r="AM79" s="347"/>
      <c r="AN79" s="349"/>
      <c r="AO79" s="354"/>
      <c r="AR79" s="69">
        <f t="shared" si="14"/>
        <v>0</v>
      </c>
      <c r="AS79" s="54"/>
      <c r="AU79" s="69"/>
      <c r="AW79" s="69"/>
      <c r="AX79" s="55"/>
      <c r="AY79" s="69">
        <f t="shared" si="37"/>
        <v>0</v>
      </c>
      <c r="AZ79" s="55">
        <f t="shared" si="41"/>
        <v>0</v>
      </c>
      <c r="BA79" s="69">
        <f t="shared" si="32"/>
        <v>0</v>
      </c>
      <c r="BB79" s="501"/>
      <c r="BE79" s="501"/>
      <c r="BF79" s="221"/>
      <c r="BG79" s="365">
        <f t="shared" si="15"/>
        <v>0</v>
      </c>
      <c r="BH79" s="223">
        <f t="shared" si="34"/>
        <v>0</v>
      </c>
      <c r="BI79" s="55"/>
      <c r="BJ79" s="55"/>
      <c r="BK79" s="65"/>
      <c r="BL79" s="69">
        <f t="shared" si="38"/>
        <v>0</v>
      </c>
      <c r="BM79" s="54"/>
      <c r="BN79" s="54"/>
      <c r="BO79" s="576"/>
      <c r="BP79" s="576">
        <f t="shared" si="17"/>
        <v>0</v>
      </c>
      <c r="BQ79" s="69">
        <f t="shared" si="35"/>
        <v>0</v>
      </c>
      <c r="BR79" s="55"/>
      <c r="BS79" s="55"/>
      <c r="BT79" s="223"/>
      <c r="BU79" s="223"/>
      <c r="BV79" s="347"/>
    </row>
    <row r="80" spans="1:74" x14ac:dyDescent="0.25">
      <c r="A80" s="54" t="s">
        <v>57</v>
      </c>
      <c r="B80" s="58" t="s">
        <v>203</v>
      </c>
      <c r="C80" s="55">
        <v>0</v>
      </c>
      <c r="D80" s="55">
        <v>0</v>
      </c>
      <c r="E80" s="55">
        <v>0</v>
      </c>
      <c r="F80" s="55"/>
      <c r="G80" s="55"/>
      <c r="H80" s="55"/>
      <c r="I80" s="55">
        <f t="shared" si="45"/>
        <v>0</v>
      </c>
      <c r="J80" s="55"/>
      <c r="K80" s="55"/>
      <c r="L80" s="55"/>
      <c r="M80" s="55">
        <f t="shared" si="46"/>
        <v>0</v>
      </c>
      <c r="N80" s="54"/>
      <c r="O80" s="55"/>
      <c r="P80" s="55"/>
      <c r="Q80" s="55"/>
      <c r="R80" s="55">
        <f t="shared" si="36"/>
        <v>0</v>
      </c>
      <c r="S80" s="55"/>
      <c r="T80" s="55"/>
      <c r="U80" s="55">
        <v>0</v>
      </c>
      <c r="V80" s="69">
        <f t="shared" si="42"/>
        <v>0</v>
      </c>
      <c r="W80" s="69">
        <f t="shared" si="43"/>
        <v>0</v>
      </c>
      <c r="X80" s="122"/>
      <c r="Y80" s="54"/>
      <c r="Z80" s="207"/>
      <c r="AA80" s="69">
        <f t="shared" si="44"/>
        <v>0</v>
      </c>
      <c r="AB80" s="55"/>
      <c r="AC80" s="55"/>
      <c r="AD80" s="55"/>
      <c r="AE80" s="123"/>
      <c r="AF80" s="65"/>
      <c r="AG80" s="65"/>
      <c r="AH80" s="215">
        <f t="shared" si="30"/>
        <v>0</v>
      </c>
      <c r="AI80" s="216">
        <f t="shared" si="33"/>
        <v>0</v>
      </c>
      <c r="AJ80" s="55"/>
      <c r="AK80" s="69">
        <f t="shared" si="40"/>
        <v>0</v>
      </c>
      <c r="AL80" s="54"/>
      <c r="AM80" s="347"/>
      <c r="AN80" s="349"/>
      <c r="AO80" s="354"/>
      <c r="AR80" s="69">
        <f t="shared" si="14"/>
        <v>0</v>
      </c>
      <c r="AS80" s="54"/>
      <c r="AU80" s="69"/>
      <c r="AW80" s="69"/>
      <c r="AX80" s="55"/>
      <c r="AY80" s="69">
        <f t="shared" si="37"/>
        <v>0</v>
      </c>
      <c r="AZ80" s="55">
        <f t="shared" si="41"/>
        <v>0</v>
      </c>
      <c r="BA80" s="69">
        <f t="shared" si="32"/>
        <v>0</v>
      </c>
      <c r="BB80" s="501"/>
      <c r="BE80" s="501"/>
      <c r="BF80" s="221"/>
      <c r="BG80" s="365">
        <f t="shared" si="15"/>
        <v>0</v>
      </c>
      <c r="BH80" s="223">
        <f t="shared" si="34"/>
        <v>0</v>
      </c>
      <c r="BI80" s="55"/>
      <c r="BJ80" s="55"/>
      <c r="BK80" s="65"/>
      <c r="BL80" s="69">
        <f t="shared" si="38"/>
        <v>0</v>
      </c>
      <c r="BM80" s="54"/>
      <c r="BN80" s="54"/>
      <c r="BO80" s="576"/>
      <c r="BP80" s="576">
        <f t="shared" si="17"/>
        <v>0</v>
      </c>
      <c r="BQ80" s="69">
        <f t="shared" si="35"/>
        <v>0</v>
      </c>
      <c r="BR80" s="55"/>
      <c r="BS80" s="55"/>
      <c r="BT80" s="223"/>
      <c r="BU80" s="223"/>
      <c r="BV80" s="347"/>
    </row>
    <row r="81" spans="1:75" x14ac:dyDescent="0.25">
      <c r="A81" s="54" t="s">
        <v>58</v>
      </c>
      <c r="B81" s="446" t="s">
        <v>162</v>
      </c>
      <c r="C81" s="55">
        <v>0</v>
      </c>
      <c r="D81" s="55">
        <v>0</v>
      </c>
      <c r="E81" s="55">
        <v>0</v>
      </c>
      <c r="F81" s="55">
        <v>0</v>
      </c>
      <c r="G81" s="55"/>
      <c r="H81" s="55"/>
      <c r="I81" s="55">
        <f t="shared" si="45"/>
        <v>0</v>
      </c>
      <c r="J81" s="55">
        <v>0</v>
      </c>
      <c r="K81" s="55">
        <v>0</v>
      </c>
      <c r="L81" s="55">
        <v>0</v>
      </c>
      <c r="M81" s="55">
        <f t="shared" si="46"/>
        <v>0</v>
      </c>
      <c r="N81" s="54"/>
      <c r="O81" s="55"/>
      <c r="P81" s="55"/>
      <c r="Q81" s="55"/>
      <c r="R81" s="55">
        <f t="shared" si="36"/>
        <v>0</v>
      </c>
      <c r="S81" s="55"/>
      <c r="T81" s="55"/>
      <c r="U81" s="55">
        <v>0</v>
      </c>
      <c r="V81" s="69">
        <f t="shared" si="42"/>
        <v>0</v>
      </c>
      <c r="W81" s="69">
        <f t="shared" si="43"/>
        <v>0</v>
      </c>
      <c r="X81" s="122"/>
      <c r="Y81" s="54"/>
      <c r="Z81" s="207"/>
      <c r="AA81" s="69">
        <f t="shared" si="44"/>
        <v>0</v>
      </c>
      <c r="AB81" s="55"/>
      <c r="AC81" s="55"/>
      <c r="AD81" s="55"/>
      <c r="AE81" s="123"/>
      <c r="AF81" s="65"/>
      <c r="AG81" s="65"/>
      <c r="AH81" s="215">
        <f t="shared" si="30"/>
        <v>0</v>
      </c>
      <c r="AI81" s="216">
        <f t="shared" si="33"/>
        <v>0</v>
      </c>
      <c r="AJ81" s="55"/>
      <c r="AK81" s="69">
        <f t="shared" si="40"/>
        <v>0</v>
      </c>
      <c r="AL81" s="54"/>
      <c r="AM81" s="347"/>
      <c r="AN81" s="349"/>
      <c r="AO81" s="354"/>
      <c r="AR81" s="69">
        <f t="shared" si="14"/>
        <v>0</v>
      </c>
      <c r="AS81" s="54"/>
      <c r="AU81" s="69"/>
      <c r="AW81" s="69"/>
      <c r="AX81" s="55"/>
      <c r="AY81" s="69">
        <f t="shared" si="37"/>
        <v>0</v>
      </c>
      <c r="AZ81" s="55">
        <f t="shared" si="41"/>
        <v>0</v>
      </c>
      <c r="BA81" s="69">
        <f t="shared" si="32"/>
        <v>0</v>
      </c>
      <c r="BB81" s="501"/>
      <c r="BE81" s="501"/>
      <c r="BF81" s="221"/>
      <c r="BG81" s="365">
        <f t="shared" si="15"/>
        <v>0</v>
      </c>
      <c r="BH81" s="223">
        <f t="shared" si="34"/>
        <v>0</v>
      </c>
      <c r="BI81" s="55"/>
      <c r="BJ81" s="55"/>
      <c r="BK81" s="65"/>
      <c r="BL81" s="69">
        <f t="shared" si="38"/>
        <v>0</v>
      </c>
      <c r="BM81" s="54"/>
      <c r="BN81" s="54"/>
      <c r="BO81" s="576"/>
      <c r="BP81" s="576">
        <f t="shared" si="17"/>
        <v>0</v>
      </c>
      <c r="BQ81" s="69">
        <f t="shared" si="35"/>
        <v>0</v>
      </c>
      <c r="BR81" s="55"/>
      <c r="BS81" s="55"/>
      <c r="BT81" s="223"/>
      <c r="BU81" s="223"/>
      <c r="BV81" s="347"/>
    </row>
    <row r="82" spans="1:75" x14ac:dyDescent="0.25">
      <c r="A82" s="54" t="s">
        <v>59</v>
      </c>
      <c r="B82" s="446" t="s">
        <v>163</v>
      </c>
      <c r="C82" s="55">
        <v>0</v>
      </c>
      <c r="D82" s="55">
        <v>0</v>
      </c>
      <c r="E82" s="55">
        <v>0</v>
      </c>
      <c r="F82" s="55">
        <v>0</v>
      </c>
      <c r="G82" s="55"/>
      <c r="H82" s="55"/>
      <c r="I82" s="55">
        <f t="shared" si="45"/>
        <v>0</v>
      </c>
      <c r="J82" s="55">
        <v>0</v>
      </c>
      <c r="K82" s="55">
        <v>0</v>
      </c>
      <c r="L82" s="55">
        <v>0</v>
      </c>
      <c r="M82" s="55">
        <f t="shared" si="46"/>
        <v>0</v>
      </c>
      <c r="N82" s="54"/>
      <c r="O82" s="55"/>
      <c r="P82" s="55"/>
      <c r="Q82" s="55"/>
      <c r="R82" s="55">
        <f t="shared" si="36"/>
        <v>0</v>
      </c>
      <c r="S82" s="55"/>
      <c r="T82" s="55"/>
      <c r="U82" s="55">
        <v>0</v>
      </c>
      <c r="V82" s="69">
        <f t="shared" si="42"/>
        <v>0</v>
      </c>
      <c r="W82" s="69">
        <f t="shared" si="43"/>
        <v>0</v>
      </c>
      <c r="X82" s="122"/>
      <c r="Y82" s="54"/>
      <c r="Z82" s="207"/>
      <c r="AA82" s="69">
        <f t="shared" si="44"/>
        <v>0</v>
      </c>
      <c r="AB82" s="55"/>
      <c r="AC82" s="55"/>
      <c r="AD82" s="55"/>
      <c r="AE82" s="123"/>
      <c r="AF82" s="65"/>
      <c r="AG82" s="65"/>
      <c r="AH82" s="215">
        <f t="shared" si="30"/>
        <v>0</v>
      </c>
      <c r="AI82" s="216">
        <f t="shared" si="33"/>
        <v>0</v>
      </c>
      <c r="AJ82" s="55"/>
      <c r="AK82" s="69">
        <f t="shared" si="40"/>
        <v>0</v>
      </c>
      <c r="AL82" s="54"/>
      <c r="AM82" s="347"/>
      <c r="AN82" s="349"/>
      <c r="AO82" s="354"/>
      <c r="AR82" s="69">
        <f t="shared" si="14"/>
        <v>0</v>
      </c>
      <c r="AS82" s="54"/>
      <c r="AU82" s="69"/>
      <c r="AW82" s="69"/>
      <c r="AX82" s="55"/>
      <c r="AY82" s="69">
        <f t="shared" si="37"/>
        <v>0</v>
      </c>
      <c r="AZ82" s="55">
        <f t="shared" si="41"/>
        <v>0</v>
      </c>
      <c r="BA82" s="69">
        <f t="shared" si="32"/>
        <v>0</v>
      </c>
      <c r="BB82" s="501"/>
      <c r="BE82" s="501"/>
      <c r="BF82" s="221"/>
      <c r="BG82" s="365">
        <f t="shared" si="15"/>
        <v>0</v>
      </c>
      <c r="BH82" s="223">
        <f t="shared" si="34"/>
        <v>0</v>
      </c>
      <c r="BI82" s="55"/>
      <c r="BJ82" s="55"/>
      <c r="BK82" s="65"/>
      <c r="BL82" s="69">
        <f t="shared" si="38"/>
        <v>0</v>
      </c>
      <c r="BM82" s="54"/>
      <c r="BN82" s="54"/>
      <c r="BO82" s="576"/>
      <c r="BP82" s="576">
        <f t="shared" si="17"/>
        <v>0</v>
      </c>
      <c r="BQ82" s="69">
        <f t="shared" si="35"/>
        <v>0</v>
      </c>
      <c r="BR82" s="55"/>
      <c r="BS82" s="55"/>
      <c r="BT82" s="223"/>
      <c r="BU82" s="223"/>
      <c r="BV82" s="347"/>
    </row>
    <row r="83" spans="1:75" x14ac:dyDescent="0.25">
      <c r="A83" s="54" t="s">
        <v>259</v>
      </c>
      <c r="B83" s="446" t="s">
        <v>260</v>
      </c>
      <c r="C83" s="55">
        <v>0</v>
      </c>
      <c r="D83" s="55">
        <v>0</v>
      </c>
      <c r="E83" s="55"/>
      <c r="F83" s="55"/>
      <c r="G83" s="55"/>
      <c r="H83" s="55"/>
      <c r="I83" s="55">
        <f t="shared" si="45"/>
        <v>0</v>
      </c>
      <c r="J83" s="55"/>
      <c r="K83" s="55"/>
      <c r="L83" s="55"/>
      <c r="M83" s="55">
        <f t="shared" si="46"/>
        <v>0</v>
      </c>
      <c r="N83" s="54"/>
      <c r="O83" s="55"/>
      <c r="P83" s="55"/>
      <c r="Q83" s="55"/>
      <c r="R83" s="55">
        <f t="shared" si="36"/>
        <v>0</v>
      </c>
      <c r="S83" s="55"/>
      <c r="T83" s="55"/>
      <c r="U83" s="55">
        <v>0</v>
      </c>
      <c r="V83" s="69">
        <f t="shared" si="42"/>
        <v>0</v>
      </c>
      <c r="W83" s="69">
        <f t="shared" si="43"/>
        <v>0</v>
      </c>
      <c r="X83" s="122"/>
      <c r="Y83" s="54"/>
      <c r="Z83" s="207"/>
      <c r="AA83" s="69">
        <f t="shared" si="44"/>
        <v>0</v>
      </c>
      <c r="AB83" s="55"/>
      <c r="AC83" s="55"/>
      <c r="AD83" s="55"/>
      <c r="AE83" s="123"/>
      <c r="AF83" s="65"/>
      <c r="AG83" s="65"/>
      <c r="AH83" s="215">
        <f t="shared" si="30"/>
        <v>0</v>
      </c>
      <c r="AI83" s="216">
        <f t="shared" si="33"/>
        <v>0</v>
      </c>
      <c r="AJ83" s="55"/>
      <c r="AK83" s="69">
        <f t="shared" si="40"/>
        <v>0</v>
      </c>
      <c r="AL83" s="54"/>
      <c r="AM83" s="347"/>
      <c r="AN83" s="349"/>
      <c r="AO83" s="354"/>
      <c r="AR83" s="69">
        <f t="shared" si="14"/>
        <v>0</v>
      </c>
      <c r="AS83" s="54"/>
      <c r="AU83" s="69"/>
      <c r="AW83" s="69"/>
      <c r="AX83" s="55"/>
      <c r="AY83" s="69">
        <f t="shared" si="37"/>
        <v>0</v>
      </c>
      <c r="AZ83" s="55">
        <f t="shared" si="41"/>
        <v>0</v>
      </c>
      <c r="BA83" s="69">
        <f t="shared" si="32"/>
        <v>0</v>
      </c>
      <c r="BB83" s="501"/>
      <c r="BE83" s="501"/>
      <c r="BF83" s="221"/>
      <c r="BG83" s="365">
        <f t="shared" si="15"/>
        <v>0</v>
      </c>
      <c r="BH83" s="223">
        <f t="shared" si="34"/>
        <v>0</v>
      </c>
      <c r="BI83" s="55"/>
      <c r="BJ83" s="55"/>
      <c r="BK83" s="65"/>
      <c r="BL83" s="69">
        <f t="shared" si="38"/>
        <v>0</v>
      </c>
      <c r="BM83" s="54"/>
      <c r="BN83" s="54"/>
      <c r="BO83" s="576">
        <v>308458</v>
      </c>
      <c r="BP83" s="576">
        <f t="shared" si="17"/>
        <v>370149.6</v>
      </c>
      <c r="BQ83" s="69"/>
      <c r="BR83" s="55"/>
      <c r="BS83" s="55"/>
      <c r="BT83" s="223"/>
      <c r="BU83" s="223"/>
      <c r="BV83" s="347"/>
    </row>
    <row r="84" spans="1:75" x14ac:dyDescent="0.25">
      <c r="A84" s="54" t="s">
        <v>60</v>
      </c>
      <c r="B84" s="446" t="s">
        <v>164</v>
      </c>
      <c r="C84" s="55">
        <v>0</v>
      </c>
      <c r="D84" s="55">
        <v>0</v>
      </c>
      <c r="E84" s="55">
        <v>0</v>
      </c>
      <c r="F84" s="55">
        <v>0</v>
      </c>
      <c r="G84" s="55"/>
      <c r="H84" s="55"/>
      <c r="I84" s="55">
        <f t="shared" si="45"/>
        <v>0</v>
      </c>
      <c r="J84" s="55">
        <v>0</v>
      </c>
      <c r="K84" s="55">
        <v>0</v>
      </c>
      <c r="L84" s="55">
        <v>0</v>
      </c>
      <c r="M84" s="55">
        <f t="shared" si="46"/>
        <v>0</v>
      </c>
      <c r="N84" s="54"/>
      <c r="O84" s="55"/>
      <c r="P84" s="55"/>
      <c r="Q84" s="55"/>
      <c r="R84" s="55">
        <f t="shared" si="36"/>
        <v>0</v>
      </c>
      <c r="S84" s="55"/>
      <c r="T84" s="55"/>
      <c r="U84" s="55">
        <v>0</v>
      </c>
      <c r="V84" s="69">
        <f t="shared" si="42"/>
        <v>0</v>
      </c>
      <c r="W84" s="69">
        <f t="shared" si="43"/>
        <v>0</v>
      </c>
      <c r="X84" s="122"/>
      <c r="Y84" s="54"/>
      <c r="Z84" s="207"/>
      <c r="AA84" s="69">
        <f t="shared" si="44"/>
        <v>0</v>
      </c>
      <c r="AB84" s="55"/>
      <c r="AC84" s="55"/>
      <c r="AD84" s="55"/>
      <c r="AE84" s="123"/>
      <c r="AF84" s="65"/>
      <c r="AG84" s="65"/>
      <c r="AH84" s="215">
        <f t="shared" si="30"/>
        <v>0</v>
      </c>
      <c r="AI84" s="216">
        <f t="shared" si="33"/>
        <v>0</v>
      </c>
      <c r="AJ84" s="55"/>
      <c r="AK84" s="69">
        <f t="shared" si="40"/>
        <v>0</v>
      </c>
      <c r="AL84" s="54"/>
      <c r="AM84" s="347"/>
      <c r="AN84" s="349"/>
      <c r="AO84" s="354"/>
      <c r="AR84" s="69">
        <f t="shared" si="14"/>
        <v>0</v>
      </c>
      <c r="AS84" s="54"/>
      <c r="AU84" s="69"/>
      <c r="AW84" s="69"/>
      <c r="AX84" s="55"/>
      <c r="AY84" s="69">
        <f t="shared" si="37"/>
        <v>0</v>
      </c>
      <c r="AZ84" s="55">
        <f t="shared" si="41"/>
        <v>0</v>
      </c>
      <c r="BA84" s="69">
        <f t="shared" si="32"/>
        <v>0</v>
      </c>
      <c r="BB84" s="501"/>
      <c r="BE84" s="501"/>
      <c r="BF84" s="221"/>
      <c r="BG84" s="365">
        <f t="shared" si="15"/>
        <v>0</v>
      </c>
      <c r="BH84" s="223">
        <f t="shared" si="34"/>
        <v>0</v>
      </c>
      <c r="BI84" s="55"/>
      <c r="BJ84" s="55"/>
      <c r="BK84" s="65"/>
      <c r="BL84" s="69">
        <f t="shared" si="38"/>
        <v>0</v>
      </c>
      <c r="BM84" s="54"/>
      <c r="BN84" s="54"/>
      <c r="BO84" s="576"/>
      <c r="BP84" s="576">
        <f t="shared" ref="BP84:BP101" si="47">BO84/10*12</f>
        <v>0</v>
      </c>
      <c r="BQ84" s="69">
        <f t="shared" si="35"/>
        <v>0</v>
      </c>
      <c r="BR84" s="55"/>
      <c r="BS84" s="55"/>
      <c r="BT84" s="223"/>
      <c r="BU84" s="223"/>
      <c r="BV84" s="347"/>
    </row>
    <row r="85" spans="1:75" x14ac:dyDescent="0.25">
      <c r="A85" s="54" t="s">
        <v>61</v>
      </c>
      <c r="B85" s="446" t="s">
        <v>165</v>
      </c>
      <c r="C85" s="55">
        <v>0</v>
      </c>
      <c r="D85" s="55">
        <v>0</v>
      </c>
      <c r="E85" s="55">
        <v>0</v>
      </c>
      <c r="F85" s="55">
        <v>0</v>
      </c>
      <c r="G85" s="55"/>
      <c r="H85" s="55"/>
      <c r="I85" s="55">
        <f t="shared" si="45"/>
        <v>0</v>
      </c>
      <c r="J85" s="55">
        <v>0</v>
      </c>
      <c r="K85" s="55">
        <v>0</v>
      </c>
      <c r="L85" s="55">
        <v>0</v>
      </c>
      <c r="M85" s="55">
        <f t="shared" si="46"/>
        <v>0</v>
      </c>
      <c r="N85" s="54"/>
      <c r="O85" s="55"/>
      <c r="P85" s="55"/>
      <c r="Q85" s="55"/>
      <c r="R85" s="55">
        <f t="shared" si="36"/>
        <v>0</v>
      </c>
      <c r="S85" s="55"/>
      <c r="T85" s="55"/>
      <c r="U85" s="55">
        <v>0</v>
      </c>
      <c r="V85" s="69">
        <f t="shared" si="42"/>
        <v>0</v>
      </c>
      <c r="W85" s="69">
        <f t="shared" si="43"/>
        <v>0</v>
      </c>
      <c r="X85" s="122"/>
      <c r="Y85" s="54"/>
      <c r="Z85" s="207"/>
      <c r="AA85" s="69">
        <f t="shared" si="44"/>
        <v>0</v>
      </c>
      <c r="AB85" s="55"/>
      <c r="AC85" s="55"/>
      <c r="AD85" s="55"/>
      <c r="AE85" s="123"/>
      <c r="AF85" s="65"/>
      <c r="AG85" s="65"/>
      <c r="AH85" s="215">
        <f t="shared" si="30"/>
        <v>0</v>
      </c>
      <c r="AI85" s="216">
        <f t="shared" si="33"/>
        <v>0</v>
      </c>
      <c r="AJ85" s="55"/>
      <c r="AK85" s="69">
        <f t="shared" si="40"/>
        <v>0</v>
      </c>
      <c r="AL85" s="54"/>
      <c r="AM85" s="347"/>
      <c r="AN85" s="349"/>
      <c r="AO85" s="354"/>
      <c r="AR85" s="69">
        <f t="shared" si="14"/>
        <v>0</v>
      </c>
      <c r="AS85" s="54"/>
      <c r="AU85" s="69"/>
      <c r="AW85" s="69"/>
      <c r="AX85" s="55"/>
      <c r="AY85" s="69">
        <f t="shared" si="37"/>
        <v>0</v>
      </c>
      <c r="AZ85" s="55">
        <f t="shared" si="41"/>
        <v>0</v>
      </c>
      <c r="BA85" s="69">
        <f t="shared" si="32"/>
        <v>0</v>
      </c>
      <c r="BB85" s="501"/>
      <c r="BE85" s="501"/>
      <c r="BF85" s="221"/>
      <c r="BG85" s="365">
        <f t="shared" si="15"/>
        <v>0</v>
      </c>
      <c r="BH85" s="223">
        <f t="shared" si="34"/>
        <v>0</v>
      </c>
      <c r="BI85" s="55"/>
      <c r="BJ85" s="55"/>
      <c r="BK85" s="65"/>
      <c r="BL85" s="69">
        <f t="shared" si="38"/>
        <v>0</v>
      </c>
      <c r="BM85" s="54"/>
      <c r="BN85" s="54"/>
      <c r="BO85" s="576"/>
      <c r="BP85" s="576">
        <f t="shared" si="47"/>
        <v>0</v>
      </c>
      <c r="BQ85" s="69">
        <f t="shared" si="35"/>
        <v>0</v>
      </c>
      <c r="BR85" s="55"/>
      <c r="BS85" s="55"/>
      <c r="BT85" s="223"/>
      <c r="BU85" s="223"/>
      <c r="BV85" s="347"/>
    </row>
    <row r="86" spans="1:75" x14ac:dyDescent="0.25">
      <c r="A86" s="54" t="s">
        <v>62</v>
      </c>
      <c r="B86" s="446" t="s">
        <v>166</v>
      </c>
      <c r="C86" s="55">
        <v>0</v>
      </c>
      <c r="D86" s="55">
        <v>0</v>
      </c>
      <c r="E86" s="55">
        <v>0</v>
      </c>
      <c r="F86" s="55">
        <v>0</v>
      </c>
      <c r="G86" s="55"/>
      <c r="H86" s="55"/>
      <c r="I86" s="55">
        <f t="shared" si="45"/>
        <v>0</v>
      </c>
      <c r="J86" s="55">
        <v>0</v>
      </c>
      <c r="K86" s="55">
        <v>0</v>
      </c>
      <c r="L86" s="55">
        <v>0</v>
      </c>
      <c r="M86" s="55">
        <f t="shared" si="46"/>
        <v>0</v>
      </c>
      <c r="N86" s="54"/>
      <c r="O86" s="55"/>
      <c r="P86" s="55"/>
      <c r="Q86" s="55"/>
      <c r="R86" s="55">
        <f t="shared" si="36"/>
        <v>0</v>
      </c>
      <c r="S86" s="55"/>
      <c r="T86" s="55"/>
      <c r="U86" s="55">
        <v>0</v>
      </c>
      <c r="V86" s="69">
        <f t="shared" si="42"/>
        <v>0</v>
      </c>
      <c r="W86" s="69">
        <f t="shared" si="43"/>
        <v>0</v>
      </c>
      <c r="X86" s="122"/>
      <c r="Y86" s="54"/>
      <c r="Z86" s="207"/>
      <c r="AA86" s="69">
        <f t="shared" si="44"/>
        <v>0</v>
      </c>
      <c r="AB86" s="55"/>
      <c r="AC86" s="55"/>
      <c r="AD86" s="55"/>
      <c r="AE86" s="123"/>
      <c r="AF86" s="65"/>
      <c r="AG86" s="65"/>
      <c r="AH86" s="215">
        <f t="shared" si="30"/>
        <v>0</v>
      </c>
      <c r="AI86" s="216">
        <f t="shared" si="33"/>
        <v>0</v>
      </c>
      <c r="AJ86" s="55"/>
      <c r="AK86" s="69">
        <f t="shared" si="40"/>
        <v>0</v>
      </c>
      <c r="AL86" s="54"/>
      <c r="AM86" s="347"/>
      <c r="AN86" s="349"/>
      <c r="AO86" s="354"/>
      <c r="AR86" s="69">
        <f t="shared" si="14"/>
        <v>0</v>
      </c>
      <c r="AS86" s="54"/>
      <c r="AU86" s="69"/>
      <c r="AW86" s="69"/>
      <c r="AX86" s="55"/>
      <c r="AY86" s="69">
        <f t="shared" si="37"/>
        <v>0</v>
      </c>
      <c r="AZ86" s="55">
        <f t="shared" si="41"/>
        <v>0</v>
      </c>
      <c r="BA86" s="69">
        <f t="shared" si="32"/>
        <v>0</v>
      </c>
      <c r="BB86" s="501"/>
      <c r="BE86" s="501"/>
      <c r="BF86" s="221"/>
      <c r="BG86" s="365">
        <f t="shared" si="15"/>
        <v>0</v>
      </c>
      <c r="BH86" s="223">
        <f t="shared" si="34"/>
        <v>0</v>
      </c>
      <c r="BI86" s="55"/>
      <c r="BJ86" s="55"/>
      <c r="BK86" s="65"/>
      <c r="BL86" s="69">
        <f t="shared" si="38"/>
        <v>0</v>
      </c>
      <c r="BM86" s="54"/>
      <c r="BN86" s="54"/>
      <c r="BO86" s="576"/>
      <c r="BP86" s="576">
        <f t="shared" si="47"/>
        <v>0</v>
      </c>
      <c r="BQ86" s="69">
        <f t="shared" si="35"/>
        <v>0</v>
      </c>
      <c r="BR86" s="55"/>
      <c r="BS86" s="55"/>
      <c r="BT86" s="223"/>
      <c r="BU86" s="223"/>
      <c r="BV86" s="347"/>
    </row>
    <row r="87" spans="1:75" x14ac:dyDescent="0.25">
      <c r="A87" s="54" t="s">
        <v>261</v>
      </c>
      <c r="B87" s="446" t="s">
        <v>262</v>
      </c>
      <c r="C87" s="55"/>
      <c r="D87" s="55"/>
      <c r="E87" s="55"/>
      <c r="F87" s="55"/>
      <c r="G87" s="55"/>
      <c r="H87" s="55"/>
      <c r="I87" s="55">
        <f t="shared" si="45"/>
        <v>0</v>
      </c>
      <c r="J87" s="55"/>
      <c r="K87" s="55"/>
      <c r="L87" s="55"/>
      <c r="M87" s="55">
        <f t="shared" si="46"/>
        <v>0</v>
      </c>
      <c r="N87" s="54"/>
      <c r="O87" s="55"/>
      <c r="P87" s="55"/>
      <c r="Q87" s="55"/>
      <c r="R87" s="55">
        <f t="shared" si="36"/>
        <v>0</v>
      </c>
      <c r="S87" s="55"/>
      <c r="T87" s="55"/>
      <c r="U87" s="55">
        <v>0</v>
      </c>
      <c r="V87" s="69">
        <f t="shared" si="42"/>
        <v>0</v>
      </c>
      <c r="W87" s="69">
        <f t="shared" si="43"/>
        <v>0</v>
      </c>
      <c r="X87" s="122"/>
      <c r="Y87" s="54"/>
      <c r="Z87" s="207"/>
      <c r="AA87" s="69">
        <f t="shared" si="44"/>
        <v>0</v>
      </c>
      <c r="AB87" s="55"/>
      <c r="AC87" s="55"/>
      <c r="AD87" s="55"/>
      <c r="AE87" s="123"/>
      <c r="AF87" s="65"/>
      <c r="AG87" s="65"/>
      <c r="AH87" s="215">
        <f t="shared" si="30"/>
        <v>0</v>
      </c>
      <c r="AI87" s="216">
        <f t="shared" si="33"/>
        <v>0</v>
      </c>
      <c r="AJ87" s="55"/>
      <c r="AK87" s="69">
        <f t="shared" si="40"/>
        <v>0</v>
      </c>
      <c r="AL87" s="54"/>
      <c r="AM87" s="347"/>
      <c r="AN87" s="349"/>
      <c r="AO87" s="354"/>
      <c r="AR87" s="69">
        <f t="shared" ref="AR87:AR94" si="48">AP87-AQ87</f>
        <v>0</v>
      </c>
      <c r="AS87" s="54"/>
      <c r="AU87" s="69"/>
      <c r="AW87" s="69"/>
      <c r="AX87" s="55"/>
      <c r="AY87" s="69">
        <f t="shared" si="37"/>
        <v>0</v>
      </c>
      <c r="AZ87" s="55">
        <f t="shared" si="41"/>
        <v>0</v>
      </c>
      <c r="BA87" s="69">
        <f t="shared" si="32"/>
        <v>0</v>
      </c>
      <c r="BB87" s="501"/>
      <c r="BE87" s="501"/>
      <c r="BF87" s="221"/>
      <c r="BG87" s="365">
        <f t="shared" ref="BG87:BG101" si="49">BF87/10*12</f>
        <v>0</v>
      </c>
      <c r="BH87" s="223">
        <f t="shared" si="34"/>
        <v>0</v>
      </c>
      <c r="BI87" s="55"/>
      <c r="BJ87" s="55"/>
      <c r="BK87" s="65"/>
      <c r="BL87" s="69">
        <f t="shared" si="38"/>
        <v>0</v>
      </c>
      <c r="BM87" s="54"/>
      <c r="BN87" s="54"/>
      <c r="BO87" s="576"/>
      <c r="BP87" s="576">
        <f t="shared" si="47"/>
        <v>0</v>
      </c>
      <c r="BQ87" s="69">
        <f t="shared" si="35"/>
        <v>0</v>
      </c>
      <c r="BR87" s="55"/>
      <c r="BS87" s="55"/>
      <c r="BT87" s="223"/>
      <c r="BU87" s="223"/>
      <c r="BV87" s="347"/>
    </row>
    <row r="88" spans="1:75" x14ac:dyDescent="0.25">
      <c r="A88" s="54" t="s">
        <v>63</v>
      </c>
      <c r="B88" s="446" t="s">
        <v>167</v>
      </c>
      <c r="C88" s="55">
        <v>0</v>
      </c>
      <c r="D88" s="55">
        <v>0</v>
      </c>
      <c r="E88" s="55">
        <v>0</v>
      </c>
      <c r="F88" s="55">
        <v>0</v>
      </c>
      <c r="G88" s="55"/>
      <c r="H88" s="55"/>
      <c r="I88" s="55">
        <f t="shared" si="45"/>
        <v>0</v>
      </c>
      <c r="J88" s="55">
        <v>0</v>
      </c>
      <c r="K88" s="55">
        <v>0</v>
      </c>
      <c r="L88" s="55">
        <v>0</v>
      </c>
      <c r="M88" s="55">
        <f t="shared" si="46"/>
        <v>0</v>
      </c>
      <c r="N88" s="54"/>
      <c r="O88" s="55"/>
      <c r="P88" s="55"/>
      <c r="Q88" s="55"/>
      <c r="R88" s="55">
        <f t="shared" si="36"/>
        <v>0</v>
      </c>
      <c r="S88" s="55"/>
      <c r="T88" s="55"/>
      <c r="U88" s="55">
        <v>0</v>
      </c>
      <c r="V88" s="69">
        <f t="shared" si="42"/>
        <v>0</v>
      </c>
      <c r="W88" s="69">
        <f t="shared" si="43"/>
        <v>0</v>
      </c>
      <c r="X88" s="122"/>
      <c r="Y88" s="54"/>
      <c r="Z88" s="207"/>
      <c r="AA88" s="69">
        <f t="shared" si="44"/>
        <v>0</v>
      </c>
      <c r="AB88" s="55"/>
      <c r="AC88" s="55"/>
      <c r="AD88" s="55"/>
      <c r="AE88" s="123"/>
      <c r="AF88" s="65"/>
      <c r="AG88" s="65"/>
      <c r="AH88" s="215">
        <f t="shared" si="30"/>
        <v>0</v>
      </c>
      <c r="AI88" s="216">
        <f t="shared" si="33"/>
        <v>0</v>
      </c>
      <c r="AJ88" s="55"/>
      <c r="AK88" s="69">
        <f t="shared" si="40"/>
        <v>0</v>
      </c>
      <c r="AL88" s="54"/>
      <c r="AM88" s="347"/>
      <c r="AN88" s="349"/>
      <c r="AO88" s="354"/>
      <c r="AR88" s="69">
        <f t="shared" si="48"/>
        <v>0</v>
      </c>
      <c r="AS88" s="54"/>
      <c r="AU88" s="69"/>
      <c r="AW88" s="69"/>
      <c r="AX88" s="55"/>
      <c r="AY88" s="69">
        <f t="shared" si="37"/>
        <v>0</v>
      </c>
      <c r="AZ88" s="55">
        <f t="shared" si="41"/>
        <v>0</v>
      </c>
      <c r="BA88" s="69">
        <f t="shared" si="32"/>
        <v>0</v>
      </c>
      <c r="BB88" s="501"/>
      <c r="BE88" s="501"/>
      <c r="BF88" s="221"/>
      <c r="BG88" s="365">
        <f t="shared" si="49"/>
        <v>0</v>
      </c>
      <c r="BH88" s="223">
        <f t="shared" si="34"/>
        <v>0</v>
      </c>
      <c r="BI88" s="55"/>
      <c r="BJ88" s="55"/>
      <c r="BK88" s="65"/>
      <c r="BL88" s="69">
        <f t="shared" si="38"/>
        <v>0</v>
      </c>
      <c r="BM88" s="54"/>
      <c r="BN88" s="54"/>
      <c r="BO88" s="576"/>
      <c r="BP88" s="576">
        <f t="shared" si="47"/>
        <v>0</v>
      </c>
      <c r="BQ88" s="69">
        <f t="shared" si="35"/>
        <v>0</v>
      </c>
      <c r="BR88" s="55"/>
      <c r="BS88" s="55"/>
      <c r="BT88" s="223"/>
      <c r="BU88" s="223"/>
      <c r="BV88" s="347"/>
    </row>
    <row r="89" spans="1:75" x14ac:dyDescent="0.25">
      <c r="A89" s="54" t="s">
        <v>64</v>
      </c>
      <c r="B89" s="58" t="s">
        <v>204</v>
      </c>
      <c r="C89" s="55">
        <v>0</v>
      </c>
      <c r="D89" s="55">
        <v>260000</v>
      </c>
      <c r="E89" s="55">
        <v>0</v>
      </c>
      <c r="F89" s="55"/>
      <c r="G89" s="55"/>
      <c r="H89" s="55"/>
      <c r="I89" s="55">
        <f t="shared" si="45"/>
        <v>0</v>
      </c>
      <c r="J89" s="55"/>
      <c r="K89" s="55"/>
      <c r="L89" s="55"/>
      <c r="M89" s="55">
        <f t="shared" si="46"/>
        <v>0</v>
      </c>
      <c r="N89" s="54"/>
      <c r="O89" s="55"/>
      <c r="P89" s="55"/>
      <c r="Q89" s="55"/>
      <c r="R89" s="55">
        <f t="shared" si="36"/>
        <v>0</v>
      </c>
      <c r="S89" s="55"/>
      <c r="T89" s="55"/>
      <c r="U89" s="55">
        <v>0</v>
      </c>
      <c r="V89" s="69">
        <f t="shared" si="42"/>
        <v>0</v>
      </c>
      <c r="W89" s="69">
        <f t="shared" si="43"/>
        <v>0</v>
      </c>
      <c r="X89" s="122"/>
      <c r="Y89" s="54"/>
      <c r="Z89" s="207"/>
      <c r="AA89" s="69">
        <f t="shared" si="44"/>
        <v>0</v>
      </c>
      <c r="AB89" s="55"/>
      <c r="AC89" s="55"/>
      <c r="AD89" s="55"/>
      <c r="AE89" s="123"/>
      <c r="AF89" s="65"/>
      <c r="AG89" s="65"/>
      <c r="AH89" s="215">
        <f t="shared" si="30"/>
        <v>0</v>
      </c>
      <c r="AI89" s="216">
        <f t="shared" si="33"/>
        <v>0</v>
      </c>
      <c r="AJ89" s="55"/>
      <c r="AK89" s="69">
        <f t="shared" si="40"/>
        <v>0</v>
      </c>
      <c r="AL89" s="54"/>
      <c r="AM89" s="347"/>
      <c r="AN89" s="349"/>
      <c r="AO89" s="354"/>
      <c r="AR89" s="69">
        <f t="shared" si="48"/>
        <v>0</v>
      </c>
      <c r="AS89" s="54"/>
      <c r="AU89" s="69"/>
      <c r="AW89" s="69"/>
      <c r="AX89" s="55"/>
      <c r="AY89" s="69">
        <f t="shared" si="37"/>
        <v>0</v>
      </c>
      <c r="AZ89" s="55">
        <f t="shared" si="41"/>
        <v>0</v>
      </c>
      <c r="BA89" s="69">
        <f t="shared" si="32"/>
        <v>0</v>
      </c>
      <c r="BB89" s="501"/>
      <c r="BE89" s="501"/>
      <c r="BF89" s="221"/>
      <c r="BG89" s="365">
        <f t="shared" si="49"/>
        <v>0</v>
      </c>
      <c r="BH89" s="223">
        <f t="shared" si="34"/>
        <v>0</v>
      </c>
      <c r="BI89" s="55"/>
      <c r="BJ89" s="55"/>
      <c r="BK89" s="65"/>
      <c r="BL89" s="607">
        <f t="shared" si="38"/>
        <v>0</v>
      </c>
      <c r="BM89" s="55"/>
      <c r="BN89" s="65"/>
      <c r="BO89" s="576"/>
      <c r="BP89" s="576">
        <f t="shared" si="47"/>
        <v>0</v>
      </c>
      <c r="BQ89" s="69">
        <f t="shared" si="35"/>
        <v>0</v>
      </c>
      <c r="BR89" s="55"/>
      <c r="BS89" s="55"/>
      <c r="BT89" s="223"/>
      <c r="BU89" s="223"/>
      <c r="BV89" s="347"/>
    </row>
    <row r="90" spans="1:75" x14ac:dyDescent="0.25">
      <c r="A90" s="54" t="s">
        <v>65</v>
      </c>
      <c r="B90" s="446" t="s">
        <v>168</v>
      </c>
      <c r="C90" s="55">
        <v>0</v>
      </c>
      <c r="D90" s="55">
        <v>0</v>
      </c>
      <c r="E90" s="55">
        <v>4708584.1500000004</v>
      </c>
      <c r="F90" s="55">
        <v>0</v>
      </c>
      <c r="G90" s="55">
        <v>4067954</v>
      </c>
      <c r="H90" s="55">
        <v>0</v>
      </c>
      <c r="I90" s="55">
        <f t="shared" si="45"/>
        <v>0</v>
      </c>
      <c r="J90" s="55">
        <v>1968503.937007874</v>
      </c>
      <c r="K90" s="55">
        <v>1968503.937007874</v>
      </c>
      <c r="L90" s="64">
        <f>(beruházások!F50+beruházások!F53)/1.27</f>
        <v>1968503.937007874</v>
      </c>
      <c r="M90" s="55">
        <f t="shared" si="46"/>
        <v>0</v>
      </c>
      <c r="N90" s="54"/>
      <c r="O90" s="55">
        <v>948504</v>
      </c>
      <c r="P90" s="55"/>
      <c r="Q90" s="55"/>
      <c r="R90" s="55">
        <v>8452968</v>
      </c>
      <c r="S90" s="55">
        <v>948504</v>
      </c>
      <c r="T90" s="55">
        <v>148000</v>
      </c>
      <c r="U90" s="55">
        <f>beruházások!C67</f>
        <v>8292968</v>
      </c>
      <c r="V90" s="69">
        <f>beruházások!F67</f>
        <v>1867843</v>
      </c>
      <c r="W90" s="152">
        <f>beruházások!H67</f>
        <v>4267843</v>
      </c>
      <c r="X90" s="122">
        <f t="shared" ref="X90:X107" si="50">T90/V90*100</f>
        <v>7.9235781594063317</v>
      </c>
      <c r="Y90" s="54"/>
      <c r="Z90" s="207">
        <f t="shared" ref="Z90:Z101" si="51">W90/T90</f>
        <v>28.836777027027026</v>
      </c>
      <c r="AA90" s="69">
        <f>beruházások!R67</f>
        <v>1867843</v>
      </c>
      <c r="AB90" s="55">
        <v>1133772</v>
      </c>
      <c r="AC90" s="55">
        <v>1133772</v>
      </c>
      <c r="AD90" s="55">
        <v>1133772</v>
      </c>
      <c r="AE90" s="123">
        <f>(AD90+AD92+AD93)/AA90*100</f>
        <v>97.717259962427249</v>
      </c>
      <c r="AF90" s="65">
        <v>1840853</v>
      </c>
      <c r="AG90" s="65">
        <v>1133772</v>
      </c>
      <c r="AH90" s="215"/>
      <c r="AJ90" s="55"/>
      <c r="AK90" s="69">
        <f t="shared" si="40"/>
        <v>0</v>
      </c>
      <c r="AL90" s="54"/>
      <c r="AM90" s="347">
        <v>1133772</v>
      </c>
      <c r="AN90" s="349"/>
      <c r="AO90" s="354"/>
      <c r="AR90" s="69">
        <f t="shared" si="48"/>
        <v>0</v>
      </c>
      <c r="AS90" s="54"/>
      <c r="AU90" s="69"/>
      <c r="AW90" s="69"/>
      <c r="AX90" s="55">
        <v>6857425</v>
      </c>
      <c r="AY90" s="69">
        <f>beruházások!AD67/1.27</f>
        <v>6857425.1968503939</v>
      </c>
      <c r="AZ90" s="55">
        <v>6857425</v>
      </c>
      <c r="BA90" s="69">
        <v>6857425</v>
      </c>
      <c r="BB90" s="501">
        <v>6857425</v>
      </c>
      <c r="BC90" s="501">
        <v>6652001</v>
      </c>
      <c r="BD90" s="501">
        <v>0</v>
      </c>
      <c r="BE90" s="501"/>
      <c r="BF90" s="221"/>
      <c r="BG90" s="365">
        <f t="shared" si="49"/>
        <v>0</v>
      </c>
      <c r="BH90" s="223">
        <v>1929134</v>
      </c>
      <c r="BI90" s="55"/>
      <c r="BJ90" s="55"/>
      <c r="BK90" s="65"/>
      <c r="BL90" s="607">
        <f t="shared" si="38"/>
        <v>0</v>
      </c>
      <c r="BM90" s="55"/>
      <c r="BN90" s="65"/>
      <c r="BO90" s="576"/>
      <c r="BP90" s="576">
        <f t="shared" si="47"/>
        <v>0</v>
      </c>
      <c r="BQ90" s="69">
        <f t="shared" si="35"/>
        <v>0</v>
      </c>
      <c r="BR90" s="55">
        <v>2440945</v>
      </c>
      <c r="BS90" s="55">
        <v>2440945</v>
      </c>
      <c r="BT90" s="223">
        <f>beruházások!AI67/1.27</f>
        <v>2440944.8818897638</v>
      </c>
      <c r="BU90" s="816"/>
      <c r="BV90" s="347"/>
    </row>
    <row r="91" spans="1:75" x14ac:dyDescent="0.25">
      <c r="A91" s="54" t="s">
        <v>67</v>
      </c>
      <c r="B91" s="446" t="s">
        <v>169</v>
      </c>
      <c r="C91" s="55">
        <v>0</v>
      </c>
      <c r="D91" s="55">
        <v>88480</v>
      </c>
      <c r="E91" s="55">
        <v>0</v>
      </c>
      <c r="F91" s="55">
        <v>303582</v>
      </c>
      <c r="G91" s="55">
        <v>484834</v>
      </c>
      <c r="H91" s="55">
        <v>303582</v>
      </c>
      <c r="I91" s="55">
        <f t="shared" si="45"/>
        <v>331180.36363636365</v>
      </c>
      <c r="J91" s="55"/>
      <c r="K91" s="55"/>
      <c r="L91" s="64"/>
      <c r="M91" s="55">
        <f t="shared" si="46"/>
        <v>0</v>
      </c>
      <c r="N91" s="54"/>
      <c r="O91" s="55"/>
      <c r="P91" s="55"/>
      <c r="Q91" s="55"/>
      <c r="R91" s="55"/>
      <c r="S91" s="55"/>
      <c r="T91" s="55"/>
      <c r="U91" s="55"/>
      <c r="V91" s="69">
        <f t="shared" si="42"/>
        <v>0</v>
      </c>
      <c r="W91" s="69">
        <f t="shared" si="43"/>
        <v>0</v>
      </c>
      <c r="X91" s="122"/>
      <c r="Y91" s="54"/>
      <c r="Z91" s="207" t="e">
        <f t="shared" si="51"/>
        <v>#DIV/0!</v>
      </c>
      <c r="AA91" s="69">
        <f t="shared" si="44"/>
        <v>0</v>
      </c>
      <c r="AB91" s="55"/>
      <c r="AC91" s="55"/>
      <c r="AD91" s="55"/>
      <c r="AE91" s="123"/>
      <c r="AF91" s="65"/>
      <c r="AG91" s="65"/>
      <c r="AH91" s="215"/>
      <c r="AJ91" s="55"/>
      <c r="AK91" s="69">
        <f t="shared" si="40"/>
        <v>0</v>
      </c>
      <c r="AL91" s="54"/>
      <c r="AM91" s="347"/>
      <c r="AN91" s="349"/>
      <c r="AO91" s="354"/>
      <c r="AR91" s="69">
        <f t="shared" si="48"/>
        <v>0</v>
      </c>
      <c r="AS91" s="54"/>
      <c r="AU91" s="69"/>
      <c r="AW91" s="69"/>
      <c r="AX91" s="55"/>
      <c r="AY91" s="69">
        <f t="shared" si="37"/>
        <v>0</v>
      </c>
      <c r="AZ91" s="55">
        <f t="shared" ref="AZ91:AZ92" si="52">AY91</f>
        <v>0</v>
      </c>
      <c r="BA91" s="69">
        <f>AZ91</f>
        <v>0</v>
      </c>
      <c r="BB91" s="501"/>
      <c r="BE91" s="501"/>
      <c r="BF91" s="221"/>
      <c r="BG91" s="365">
        <f t="shared" si="49"/>
        <v>0</v>
      </c>
      <c r="BH91" s="223"/>
      <c r="BI91" s="55">
        <v>278057</v>
      </c>
      <c r="BJ91" s="55">
        <v>278057</v>
      </c>
      <c r="BK91" s="65">
        <v>278057</v>
      </c>
      <c r="BL91" s="607"/>
      <c r="BM91" s="55"/>
      <c r="BN91" s="65"/>
      <c r="BO91" s="576"/>
      <c r="BP91" s="576">
        <f t="shared" si="47"/>
        <v>0</v>
      </c>
      <c r="BQ91" s="69">
        <f t="shared" si="35"/>
        <v>0</v>
      </c>
      <c r="BR91" s="55"/>
      <c r="BS91" s="55"/>
      <c r="BT91" s="223"/>
      <c r="BU91" s="816">
        <v>1574803</v>
      </c>
      <c r="BV91" s="854">
        <v>2000000</v>
      </c>
    </row>
    <row r="92" spans="1:75" x14ac:dyDescent="0.25">
      <c r="A92" s="54" t="s">
        <v>68</v>
      </c>
      <c r="B92" s="446" t="s">
        <v>170</v>
      </c>
      <c r="C92" s="55">
        <v>0</v>
      </c>
      <c r="D92" s="55">
        <v>230957</v>
      </c>
      <c r="E92" s="55">
        <v>0</v>
      </c>
      <c r="F92" s="55">
        <v>19599</v>
      </c>
      <c r="G92" s="55">
        <v>19599</v>
      </c>
      <c r="H92" s="55">
        <v>19599</v>
      </c>
      <c r="I92" s="55">
        <f t="shared" si="45"/>
        <v>21380.727272727272</v>
      </c>
      <c r="J92" s="55">
        <v>2165354.3307086616</v>
      </c>
      <c r="K92" s="55">
        <v>2165354.3307086616</v>
      </c>
      <c r="L92" s="64">
        <f>(beruházások!F51+beruházások!F52+beruházások!F54+beruházások!F55+beruházások!F57)/1.27</f>
        <v>2165354.3307086616</v>
      </c>
      <c r="M92" s="55">
        <f t="shared" si="46"/>
        <v>10127.599043231492</v>
      </c>
      <c r="N92" s="54"/>
      <c r="O92" s="55">
        <v>2165354</v>
      </c>
      <c r="P92" s="55">
        <v>1807946</v>
      </c>
      <c r="Q92" s="55">
        <v>1807946</v>
      </c>
      <c r="R92" s="55"/>
      <c r="S92" s="55">
        <v>2165354</v>
      </c>
      <c r="T92" s="55">
        <v>2018146</v>
      </c>
      <c r="U92" s="55"/>
      <c r="V92" s="69">
        <f t="shared" si="42"/>
        <v>0</v>
      </c>
      <c r="W92" s="69">
        <f t="shared" si="43"/>
        <v>0</v>
      </c>
      <c r="X92" s="122"/>
      <c r="Y92" s="54"/>
      <c r="Z92" s="207">
        <f t="shared" si="51"/>
        <v>0</v>
      </c>
      <c r="AA92" s="69">
        <f t="shared" si="44"/>
        <v>0</v>
      </c>
      <c r="AB92" s="55">
        <v>97900</v>
      </c>
      <c r="AC92" s="55">
        <v>432880</v>
      </c>
      <c r="AD92" s="55">
        <v>445780</v>
      </c>
      <c r="AE92" s="123"/>
      <c r="AF92" s="65">
        <v>498000</v>
      </c>
      <c r="AG92" s="65">
        <v>445780</v>
      </c>
      <c r="AH92" s="215"/>
      <c r="AI92" s="216">
        <f>beruházások!X67/1.27</f>
        <v>6857425.1968503939</v>
      </c>
      <c r="AJ92" s="55"/>
      <c r="AK92" s="69">
        <f>beruházások!Z67/1.27</f>
        <v>2192070.8661417323</v>
      </c>
      <c r="AL92" s="54"/>
      <c r="AM92" s="347">
        <v>445780</v>
      </c>
      <c r="AN92" s="349">
        <v>203500</v>
      </c>
      <c r="AO92" s="354">
        <v>121700</v>
      </c>
      <c r="AP92" s="55">
        <v>403500</v>
      </c>
      <c r="AQ92" s="55">
        <v>203500</v>
      </c>
      <c r="AR92" s="69">
        <f t="shared" si="48"/>
        <v>200000</v>
      </c>
      <c r="AS92" s="54">
        <f t="shared" ref="AS92:AS107" si="53">AQ92/AP92*100</f>
        <v>50.433705080545231</v>
      </c>
      <c r="AT92" s="55">
        <v>383100</v>
      </c>
      <c r="AU92" s="69">
        <f>AP92-AT92</f>
        <v>20400</v>
      </c>
      <c r="AV92" s="54">
        <f>AU92/AP92*100</f>
        <v>5.0557620817843869</v>
      </c>
      <c r="AW92" s="69">
        <v>2192071</v>
      </c>
      <c r="AX92" s="69"/>
      <c r="AY92" s="69">
        <f t="shared" si="37"/>
        <v>0</v>
      </c>
      <c r="AZ92" s="55">
        <f t="shared" si="52"/>
        <v>0</v>
      </c>
      <c r="BA92" s="69">
        <f>AZ92</f>
        <v>0</v>
      </c>
      <c r="BB92" s="501">
        <v>0</v>
      </c>
      <c r="BC92" s="501">
        <v>268257</v>
      </c>
      <c r="BD92" s="501">
        <v>268257</v>
      </c>
      <c r="BE92" s="501">
        <v>268257</v>
      </c>
      <c r="BF92" s="221">
        <v>268257</v>
      </c>
      <c r="BG92" s="365">
        <f t="shared" si="49"/>
        <v>321908.40000000002</v>
      </c>
      <c r="BH92" s="223"/>
      <c r="BI92" s="55"/>
      <c r="BJ92" s="55"/>
      <c r="BK92" s="65"/>
      <c r="BL92" s="607"/>
      <c r="BM92" s="55"/>
      <c r="BN92" s="65"/>
      <c r="BO92" s="576"/>
      <c r="BP92" s="576">
        <f t="shared" si="47"/>
        <v>0</v>
      </c>
      <c r="BQ92" s="69">
        <f t="shared" si="35"/>
        <v>0</v>
      </c>
      <c r="BR92" s="55"/>
      <c r="BS92" s="55"/>
      <c r="BT92" s="223"/>
      <c r="BU92" s="816"/>
      <c r="BV92" s="854"/>
      <c r="BW92" t="s">
        <v>817</v>
      </c>
    </row>
    <row r="93" spans="1:75" x14ac:dyDescent="0.25">
      <c r="A93" s="54" t="s">
        <v>69</v>
      </c>
      <c r="B93" s="446" t="s">
        <v>171</v>
      </c>
      <c r="C93" s="55">
        <v>0</v>
      </c>
      <c r="D93" s="55">
        <v>156449</v>
      </c>
      <c r="E93" s="55">
        <v>0</v>
      </c>
      <c r="F93" s="55">
        <v>87259</v>
      </c>
      <c r="G93" s="55">
        <v>136197</v>
      </c>
      <c r="H93" s="55">
        <v>87259</v>
      </c>
      <c r="I93" s="55">
        <f t="shared" si="45"/>
        <v>95191.636363636368</v>
      </c>
      <c r="J93" s="55">
        <v>1116141.7322834646</v>
      </c>
      <c r="K93" s="55">
        <v>1116141.7322834646</v>
      </c>
      <c r="L93" s="64">
        <v>1116142</v>
      </c>
      <c r="M93" s="55">
        <f t="shared" si="46"/>
        <v>1172.5210770999743</v>
      </c>
      <c r="N93" s="54"/>
      <c r="O93" s="55">
        <v>840142</v>
      </c>
      <c r="P93" s="55">
        <v>463725</v>
      </c>
      <c r="Q93" s="55">
        <v>463725</v>
      </c>
      <c r="R93" s="55"/>
      <c r="S93" s="55">
        <v>840142</v>
      </c>
      <c r="T93" s="55">
        <v>463725</v>
      </c>
      <c r="U93" s="55"/>
      <c r="V93" s="69">
        <f t="shared" si="42"/>
        <v>0</v>
      </c>
      <c r="W93" s="69">
        <f t="shared" si="43"/>
        <v>0</v>
      </c>
      <c r="X93" s="122"/>
      <c r="Y93" s="54"/>
      <c r="Z93" s="207">
        <f t="shared" si="51"/>
        <v>0</v>
      </c>
      <c r="AA93" s="69">
        <f t="shared" si="44"/>
        <v>0</v>
      </c>
      <c r="AB93" s="55">
        <v>242170</v>
      </c>
      <c r="AC93" s="55">
        <v>242170</v>
      </c>
      <c r="AD93" s="55">
        <v>245653</v>
      </c>
      <c r="AE93" s="123"/>
      <c r="AF93" s="65">
        <v>255990</v>
      </c>
      <c r="AG93" s="65">
        <v>245653</v>
      </c>
      <c r="AH93" s="215"/>
      <c r="AI93" s="216">
        <f>AI92*0.27</f>
        <v>1851504.8031496066</v>
      </c>
      <c r="AJ93" s="55"/>
      <c r="AK93" s="69">
        <f>AK92*0.27</f>
        <v>591859.1338582678</v>
      </c>
      <c r="AL93" s="54"/>
      <c r="AM93" s="347">
        <v>245653</v>
      </c>
      <c r="AN93" s="349">
        <v>54946</v>
      </c>
      <c r="AO93" s="354">
        <v>32859</v>
      </c>
      <c r="AP93" s="55">
        <v>591859</v>
      </c>
      <c r="AQ93" s="55">
        <v>54945</v>
      </c>
      <c r="AR93" s="69">
        <f t="shared" si="48"/>
        <v>536914</v>
      </c>
      <c r="AS93" s="54">
        <f t="shared" si="53"/>
        <v>9.2834610946188203</v>
      </c>
      <c r="AT93" s="382">
        <v>103437</v>
      </c>
      <c r="AU93" s="69">
        <f>AP93-AT93</f>
        <v>488422</v>
      </c>
      <c r="AV93" s="54">
        <f>AU93/AP93*100</f>
        <v>82.523371275928895</v>
      </c>
      <c r="AW93" s="69">
        <f>AW92*0.27</f>
        <v>591859.17000000004</v>
      </c>
      <c r="AX93" s="69">
        <v>1851505</v>
      </c>
      <c r="AY93" s="69">
        <f>AY90*0.27</f>
        <v>1851504.8031496066</v>
      </c>
      <c r="AZ93" s="55">
        <f t="shared" ref="AZ93:BA93" si="54">AZ90*0.27</f>
        <v>1851504.7500000002</v>
      </c>
      <c r="BA93" s="69">
        <f t="shared" si="54"/>
        <v>1851504.7500000002</v>
      </c>
      <c r="BB93" s="501">
        <v>1851505</v>
      </c>
      <c r="BC93" s="501">
        <v>1851505</v>
      </c>
      <c r="BD93" s="501">
        <v>72430</v>
      </c>
      <c r="BE93" s="501">
        <v>72430</v>
      </c>
      <c r="BF93" s="221">
        <v>72430</v>
      </c>
      <c r="BG93" s="365">
        <f t="shared" si="49"/>
        <v>86916</v>
      </c>
      <c r="BH93" s="223">
        <v>520866</v>
      </c>
      <c r="BI93" s="55">
        <v>75075</v>
      </c>
      <c r="BJ93" s="55">
        <v>75075</v>
      </c>
      <c r="BK93" s="65">
        <v>75075</v>
      </c>
      <c r="BL93" s="607"/>
      <c r="BM93" s="55"/>
      <c r="BN93" s="65"/>
      <c r="BO93" s="576"/>
      <c r="BP93" s="576">
        <f t="shared" si="47"/>
        <v>0</v>
      </c>
      <c r="BQ93" s="69">
        <f t="shared" si="35"/>
        <v>0</v>
      </c>
      <c r="BR93" s="55">
        <v>659055</v>
      </c>
      <c r="BS93" s="55">
        <v>659055</v>
      </c>
      <c r="BT93" s="223">
        <f>BT90*0.27</f>
        <v>659055.11811023625</v>
      </c>
      <c r="BU93" s="816">
        <v>425196</v>
      </c>
      <c r="BV93" s="854">
        <v>540000</v>
      </c>
    </row>
    <row r="94" spans="1:75" x14ac:dyDescent="0.25">
      <c r="A94" s="54" t="s">
        <v>70</v>
      </c>
      <c r="B94" s="446" t="s">
        <v>172</v>
      </c>
      <c r="C94" s="55">
        <v>0</v>
      </c>
      <c r="D94" s="55">
        <v>0</v>
      </c>
      <c r="E94" s="55">
        <v>0</v>
      </c>
      <c r="F94" s="55">
        <v>0</v>
      </c>
      <c r="G94" s="55"/>
      <c r="H94" s="55"/>
      <c r="I94" s="55">
        <f t="shared" si="45"/>
        <v>0</v>
      </c>
      <c r="J94" s="55">
        <v>0</v>
      </c>
      <c r="K94" s="55">
        <v>0</v>
      </c>
      <c r="L94" s="64">
        <v>0</v>
      </c>
      <c r="M94" s="55">
        <f t="shared" si="46"/>
        <v>0</v>
      </c>
      <c r="N94" s="54"/>
      <c r="O94" s="55"/>
      <c r="P94" s="55"/>
      <c r="Q94" s="55"/>
      <c r="R94" s="55"/>
      <c r="S94" s="55"/>
      <c r="T94" s="55"/>
      <c r="U94" s="55"/>
      <c r="V94" s="69">
        <f t="shared" si="42"/>
        <v>0</v>
      </c>
      <c r="W94" s="69">
        <f t="shared" si="43"/>
        <v>0</v>
      </c>
      <c r="X94" s="122"/>
      <c r="Y94" s="54"/>
      <c r="Z94" s="207" t="e">
        <f t="shared" si="51"/>
        <v>#DIV/0!</v>
      </c>
      <c r="AA94" s="69">
        <f t="shared" si="44"/>
        <v>0</v>
      </c>
      <c r="AB94" s="55"/>
      <c r="AC94" s="55"/>
      <c r="AD94" s="55"/>
      <c r="AE94" s="123"/>
      <c r="AF94" s="65"/>
      <c r="AG94" s="65"/>
      <c r="AH94" s="215">
        <f t="shared" si="30"/>
        <v>0</v>
      </c>
      <c r="AI94" s="216">
        <f t="shared" si="33"/>
        <v>0</v>
      </c>
      <c r="AJ94" s="55"/>
      <c r="AK94" s="69">
        <f t="shared" si="40"/>
        <v>0</v>
      </c>
      <c r="AL94" s="54"/>
      <c r="AM94" s="54"/>
      <c r="AN94" s="349"/>
      <c r="AO94" s="354"/>
      <c r="AR94" s="69">
        <f t="shared" si="48"/>
        <v>0</v>
      </c>
      <c r="AS94" s="54"/>
      <c r="AU94" s="69"/>
      <c r="AW94" s="69">
        <f t="shared" ref="AW94:AW102" si="55">AU94</f>
        <v>0</v>
      </c>
      <c r="AX94" s="55"/>
      <c r="AY94" s="69">
        <f t="shared" si="37"/>
        <v>0</v>
      </c>
      <c r="AZ94" s="55">
        <f t="shared" ref="AZ94:AZ102" si="56">AY94</f>
        <v>0</v>
      </c>
      <c r="BA94" s="69">
        <f t="shared" ref="BA94:BA102" si="57">AZ94</f>
        <v>0</v>
      </c>
      <c r="BB94" s="501"/>
      <c r="BE94" s="501"/>
      <c r="BF94" s="221"/>
      <c r="BG94" s="365">
        <f t="shared" si="49"/>
        <v>0</v>
      </c>
      <c r="BH94" s="223"/>
      <c r="BI94" s="55"/>
      <c r="BJ94" s="55"/>
      <c r="BK94" s="65"/>
      <c r="BL94" s="607">
        <f t="shared" si="38"/>
        <v>0</v>
      </c>
      <c r="BM94" s="55"/>
      <c r="BN94" s="65"/>
      <c r="BO94" s="576"/>
      <c r="BP94" s="576">
        <f t="shared" si="47"/>
        <v>0</v>
      </c>
      <c r="BQ94" s="69">
        <f t="shared" si="35"/>
        <v>0</v>
      </c>
      <c r="BR94" s="55"/>
      <c r="BS94" s="55"/>
      <c r="BT94" s="223"/>
      <c r="BU94" s="816">
        <f>2755906-750000</f>
        <v>2005906</v>
      </c>
      <c r="BV94" s="854">
        <v>2000000</v>
      </c>
    </row>
    <row r="95" spans="1:75" x14ac:dyDescent="0.25">
      <c r="A95" s="54" t="s">
        <v>239</v>
      </c>
      <c r="B95" s="446" t="s">
        <v>240</v>
      </c>
      <c r="C95" s="55"/>
      <c r="D95" s="55"/>
      <c r="E95" s="55"/>
      <c r="F95" s="55"/>
      <c r="G95" s="55"/>
      <c r="H95" s="55"/>
      <c r="I95" s="55">
        <f t="shared" si="45"/>
        <v>0</v>
      </c>
      <c r="J95" s="55"/>
      <c r="K95" s="55"/>
      <c r="L95" s="55"/>
      <c r="M95" s="55">
        <f t="shared" si="46"/>
        <v>0</v>
      </c>
      <c r="N95" s="54"/>
      <c r="O95" s="55"/>
      <c r="P95" s="55"/>
      <c r="Q95" s="55"/>
      <c r="R95" s="55"/>
      <c r="S95" s="55"/>
      <c r="T95" s="55"/>
      <c r="U95" s="55"/>
      <c r="V95" s="69">
        <f t="shared" si="42"/>
        <v>0</v>
      </c>
      <c r="W95" s="69">
        <f t="shared" si="43"/>
        <v>0</v>
      </c>
      <c r="X95" s="122"/>
      <c r="Y95" s="54"/>
      <c r="Z95" s="207" t="e">
        <f t="shared" si="51"/>
        <v>#DIV/0!</v>
      </c>
      <c r="AA95" s="69">
        <f t="shared" si="44"/>
        <v>0</v>
      </c>
      <c r="AB95" s="55"/>
      <c r="AC95" s="55"/>
      <c r="AD95" s="55"/>
      <c r="AE95" s="123"/>
      <c r="AF95" s="65"/>
      <c r="AG95" s="65"/>
      <c r="AH95" s="215">
        <f t="shared" si="30"/>
        <v>0</v>
      </c>
      <c r="AI95" s="216">
        <f t="shared" si="33"/>
        <v>0</v>
      </c>
      <c r="AJ95" s="55"/>
      <c r="AK95" s="69">
        <f t="shared" si="40"/>
        <v>0</v>
      </c>
      <c r="AL95" s="54"/>
      <c r="AM95" s="54"/>
      <c r="AN95" s="54"/>
      <c r="AS95" s="54" t="e">
        <f t="shared" si="53"/>
        <v>#DIV/0!</v>
      </c>
      <c r="AU95" s="69"/>
      <c r="AW95" s="69">
        <f t="shared" si="55"/>
        <v>0</v>
      </c>
      <c r="AX95" s="55"/>
      <c r="AY95" s="69">
        <f t="shared" si="37"/>
        <v>0</v>
      </c>
      <c r="AZ95" s="55">
        <f t="shared" si="56"/>
        <v>0</v>
      </c>
      <c r="BA95" s="69">
        <f t="shared" si="57"/>
        <v>0</v>
      </c>
      <c r="BB95" s="501"/>
      <c r="BE95" s="501"/>
      <c r="BF95" s="221"/>
      <c r="BG95" s="365">
        <f t="shared" si="49"/>
        <v>0</v>
      </c>
      <c r="BH95" s="223"/>
      <c r="BI95" s="55"/>
      <c r="BJ95" s="55"/>
      <c r="BK95" s="65"/>
      <c r="BL95" s="607">
        <f t="shared" si="38"/>
        <v>0</v>
      </c>
      <c r="BM95" s="55"/>
      <c r="BN95" s="65"/>
      <c r="BO95" s="576"/>
      <c r="BP95" s="576">
        <f t="shared" si="47"/>
        <v>0</v>
      </c>
      <c r="BQ95" s="69">
        <f t="shared" si="35"/>
        <v>0</v>
      </c>
      <c r="BR95" s="55"/>
      <c r="BS95" s="55"/>
      <c r="BT95" s="223"/>
      <c r="BU95" s="816"/>
      <c r="BV95" s="854">
        <v>800000</v>
      </c>
    </row>
    <row r="96" spans="1:75" x14ac:dyDescent="0.25">
      <c r="A96" s="54" t="s">
        <v>71</v>
      </c>
      <c r="B96" s="446" t="s">
        <v>173</v>
      </c>
      <c r="C96" s="55">
        <v>0</v>
      </c>
      <c r="D96" s="55">
        <v>0</v>
      </c>
      <c r="E96" s="55">
        <v>0</v>
      </c>
      <c r="F96" s="55">
        <v>0</v>
      </c>
      <c r="G96" s="55"/>
      <c r="H96" s="55"/>
      <c r="I96" s="55">
        <f t="shared" si="45"/>
        <v>0</v>
      </c>
      <c r="J96" s="55">
        <v>0</v>
      </c>
      <c r="K96" s="55">
        <v>0</v>
      </c>
      <c r="L96" s="55">
        <v>0</v>
      </c>
      <c r="M96" s="55">
        <f t="shared" si="46"/>
        <v>0</v>
      </c>
      <c r="N96" s="54"/>
      <c r="O96" s="55"/>
      <c r="P96" s="55"/>
      <c r="Q96" s="55"/>
      <c r="R96" s="55"/>
      <c r="S96" s="55"/>
      <c r="T96" s="55"/>
      <c r="U96" s="55"/>
      <c r="V96" s="69">
        <f t="shared" si="42"/>
        <v>0</v>
      </c>
      <c r="W96" s="69">
        <f t="shared" si="43"/>
        <v>0</v>
      </c>
      <c r="X96" s="122"/>
      <c r="Y96" s="54"/>
      <c r="Z96" s="207" t="e">
        <f t="shared" si="51"/>
        <v>#DIV/0!</v>
      </c>
      <c r="AA96" s="69">
        <f t="shared" si="44"/>
        <v>0</v>
      </c>
      <c r="AB96" s="55"/>
      <c r="AC96" s="55"/>
      <c r="AD96" s="55"/>
      <c r="AE96" s="123"/>
      <c r="AF96" s="65"/>
      <c r="AG96" s="65"/>
      <c r="AH96" s="215">
        <f t="shared" si="30"/>
        <v>0</v>
      </c>
      <c r="AI96" s="216">
        <f t="shared" si="33"/>
        <v>0</v>
      </c>
      <c r="AJ96" s="55"/>
      <c r="AK96" s="69">
        <f t="shared" si="40"/>
        <v>0</v>
      </c>
      <c r="AL96" s="54"/>
      <c r="AM96" s="54"/>
      <c r="AN96" s="54"/>
      <c r="AS96" s="54" t="e">
        <f t="shared" si="53"/>
        <v>#DIV/0!</v>
      </c>
      <c r="AU96" s="69"/>
      <c r="AW96" s="69">
        <f t="shared" si="55"/>
        <v>0</v>
      </c>
      <c r="AX96" s="55"/>
      <c r="AY96" s="69">
        <f t="shared" si="37"/>
        <v>0</v>
      </c>
      <c r="AZ96" s="55">
        <f t="shared" si="56"/>
        <v>0</v>
      </c>
      <c r="BA96" s="69">
        <f t="shared" si="57"/>
        <v>0</v>
      </c>
      <c r="BB96" s="501"/>
      <c r="BE96" s="501"/>
      <c r="BF96" s="221"/>
      <c r="BG96" s="365">
        <f t="shared" si="49"/>
        <v>0</v>
      </c>
      <c r="BH96" s="223"/>
      <c r="BI96" s="55"/>
      <c r="BJ96" s="55"/>
      <c r="BK96" s="65"/>
      <c r="BL96" s="607">
        <f t="shared" si="38"/>
        <v>0</v>
      </c>
      <c r="BM96" s="55"/>
      <c r="BN96" s="65"/>
      <c r="BO96" s="576"/>
      <c r="BP96" s="576">
        <f t="shared" si="47"/>
        <v>0</v>
      </c>
      <c r="BQ96" s="69">
        <f t="shared" si="35"/>
        <v>0</v>
      </c>
      <c r="BR96" s="55"/>
      <c r="BS96" s="55"/>
      <c r="BT96" s="223"/>
      <c r="BU96" s="816">
        <v>744095</v>
      </c>
      <c r="BV96" s="854">
        <v>756000</v>
      </c>
    </row>
    <row r="97" spans="1:74" x14ac:dyDescent="0.25">
      <c r="A97" s="54" t="s">
        <v>707</v>
      </c>
      <c r="B97" s="55" t="s">
        <v>708</v>
      </c>
      <c r="C97" s="55"/>
      <c r="D97" s="55"/>
      <c r="E97" s="55"/>
      <c r="F97" s="55"/>
      <c r="G97" s="55"/>
      <c r="H97" s="55"/>
      <c r="I97" s="55"/>
      <c r="J97" s="55"/>
      <c r="K97" s="55"/>
      <c r="L97" s="64"/>
      <c r="N97" s="1"/>
      <c r="O97" s="55"/>
      <c r="P97" s="55"/>
      <c r="Q97" s="55"/>
      <c r="R97" s="55"/>
      <c r="S97" s="55"/>
      <c r="T97" s="55"/>
      <c r="U97" s="55"/>
      <c r="V97" s="69"/>
      <c r="W97" s="69"/>
      <c r="X97" s="122"/>
      <c r="Y97" s="1"/>
      <c r="Z97" s="140"/>
      <c r="AA97" s="171"/>
      <c r="AB97" s="55"/>
      <c r="AC97" s="223"/>
      <c r="AD97" s="55"/>
      <c r="AE97" s="122"/>
      <c r="AF97" s="55"/>
      <c r="AG97" s="55"/>
      <c r="AH97" s="55"/>
      <c r="AI97" s="230"/>
      <c r="AJ97" s="230"/>
      <c r="AK97" s="230"/>
      <c r="AL97" s="55"/>
      <c r="AM97" s="55"/>
      <c r="AN97" s="223"/>
      <c r="AO97" s="223"/>
      <c r="AP97" s="222"/>
      <c r="AQ97" s="65"/>
      <c r="AR97" s="69"/>
      <c r="AS97" s="415"/>
      <c r="AT97" s="65"/>
      <c r="AU97" s="55"/>
      <c r="AV97" s="55"/>
      <c r="AW97" s="430"/>
      <c r="AX97" s="430"/>
      <c r="AY97" s="69"/>
      <c r="AZ97" s="69"/>
      <c r="BA97" s="69"/>
      <c r="BB97" s="501"/>
      <c r="BE97" s="501"/>
      <c r="BF97" s="221"/>
      <c r="BG97" s="517"/>
      <c r="BH97" s="222"/>
      <c r="BI97" s="65"/>
      <c r="BJ97" s="65"/>
      <c r="BK97" s="65"/>
      <c r="BL97" s="610"/>
      <c r="BM97" s="55">
        <v>0</v>
      </c>
      <c r="BN97" s="65">
        <v>0</v>
      </c>
      <c r="BO97" s="65">
        <v>214597</v>
      </c>
      <c r="BP97" s="65"/>
      <c r="BQ97" s="69">
        <f t="shared" si="35"/>
        <v>0</v>
      </c>
      <c r="BR97" s="55"/>
      <c r="BS97" s="55"/>
      <c r="BT97" s="223"/>
      <c r="BU97" s="223"/>
      <c r="BV97" s="347"/>
    </row>
    <row r="98" spans="1:74" x14ac:dyDescent="0.25">
      <c r="A98" s="54" t="s">
        <v>263</v>
      </c>
      <c r="B98" s="446" t="s">
        <v>264</v>
      </c>
      <c r="C98" s="55"/>
      <c r="D98" s="55"/>
      <c r="E98" s="55"/>
      <c r="F98" s="55"/>
      <c r="G98" s="55"/>
      <c r="H98" s="55"/>
      <c r="I98" s="55">
        <f t="shared" si="45"/>
        <v>0</v>
      </c>
      <c r="J98" s="55"/>
      <c r="K98" s="55"/>
      <c r="L98" s="55"/>
      <c r="M98" s="55">
        <f t="shared" si="46"/>
        <v>0</v>
      </c>
      <c r="N98" s="54"/>
      <c r="O98" s="55"/>
      <c r="P98" s="55"/>
      <c r="Q98" s="55"/>
      <c r="R98" s="55"/>
      <c r="S98" s="55"/>
      <c r="T98" s="55"/>
      <c r="U98" s="55"/>
      <c r="V98" s="69">
        <f t="shared" si="42"/>
        <v>0</v>
      </c>
      <c r="W98" s="69">
        <f t="shared" si="43"/>
        <v>0</v>
      </c>
      <c r="X98" s="122"/>
      <c r="Y98" s="54"/>
      <c r="Z98" s="207" t="e">
        <f t="shared" si="51"/>
        <v>#DIV/0!</v>
      </c>
      <c r="AA98" s="69">
        <f t="shared" si="44"/>
        <v>0</v>
      </c>
      <c r="AB98" s="55"/>
      <c r="AC98" s="55"/>
      <c r="AD98" s="55"/>
      <c r="AE98" s="123"/>
      <c r="AF98" s="65"/>
      <c r="AG98" s="65"/>
      <c r="AH98" s="215">
        <f t="shared" si="30"/>
        <v>0</v>
      </c>
      <c r="AI98" s="216">
        <f t="shared" si="33"/>
        <v>0</v>
      </c>
      <c r="AJ98" s="55"/>
      <c r="AK98" s="69">
        <f t="shared" si="40"/>
        <v>0</v>
      </c>
      <c r="AL98" s="54"/>
      <c r="AM98" s="54"/>
      <c r="AN98" s="54"/>
      <c r="AS98" s="54" t="e">
        <f t="shared" si="53"/>
        <v>#DIV/0!</v>
      </c>
      <c r="AU98" s="69"/>
      <c r="AW98" s="69">
        <f t="shared" si="55"/>
        <v>0</v>
      </c>
      <c r="AX98" s="55"/>
      <c r="AY98" s="69">
        <f t="shared" si="37"/>
        <v>0</v>
      </c>
      <c r="AZ98" s="55">
        <f t="shared" si="56"/>
        <v>0</v>
      </c>
      <c r="BA98" s="69">
        <f t="shared" si="57"/>
        <v>0</v>
      </c>
      <c r="BB98" s="501"/>
      <c r="BE98" s="501"/>
      <c r="BF98" s="221"/>
      <c r="BG98" s="365">
        <f t="shared" si="49"/>
        <v>0</v>
      </c>
      <c r="BH98" s="223"/>
      <c r="BI98" s="55"/>
      <c r="BJ98" s="55"/>
      <c r="BK98" s="65"/>
      <c r="BL98" s="69">
        <f t="shared" si="38"/>
        <v>0</v>
      </c>
      <c r="BM98" s="55"/>
      <c r="BN98" s="65"/>
      <c r="BO98" s="576"/>
      <c r="BP98" s="576">
        <f t="shared" si="47"/>
        <v>0</v>
      </c>
      <c r="BQ98" s="69">
        <f t="shared" si="35"/>
        <v>0</v>
      </c>
      <c r="BR98" s="55"/>
      <c r="BS98" s="55"/>
      <c r="BT98" s="223"/>
      <c r="BU98" s="223"/>
      <c r="BV98" s="347"/>
    </row>
    <row r="99" spans="1:74" x14ac:dyDescent="0.25">
      <c r="A99" s="54" t="s">
        <v>665</v>
      </c>
      <c r="B99" s="55" t="s">
        <v>666</v>
      </c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4"/>
      <c r="O99" s="55"/>
      <c r="P99" s="55"/>
      <c r="Q99" s="55"/>
      <c r="R99" s="55"/>
      <c r="S99" s="55"/>
      <c r="T99" s="55"/>
      <c r="U99" s="55"/>
      <c r="V99" s="69"/>
      <c r="W99" s="69"/>
      <c r="X99" s="122"/>
      <c r="Y99" s="54"/>
      <c r="Z99" s="207"/>
      <c r="AA99" s="69"/>
      <c r="AB99" s="55"/>
      <c r="AC99" s="55"/>
      <c r="AD99" s="55"/>
      <c r="AE99" s="123"/>
      <c r="AF99" s="65"/>
      <c r="AG99" s="65"/>
      <c r="AH99" s="215"/>
      <c r="AJ99" s="55"/>
      <c r="AK99" s="69"/>
      <c r="AL99" s="54"/>
      <c r="AM99" s="54"/>
      <c r="AN99" s="54"/>
      <c r="AS99" s="54"/>
      <c r="AU99" s="69"/>
      <c r="AW99" s="69"/>
      <c r="AX99" s="55"/>
      <c r="AY99" s="69"/>
      <c r="AZ99" s="55"/>
      <c r="BA99" s="69"/>
      <c r="BB99" s="501"/>
      <c r="BE99" s="501"/>
      <c r="BF99" s="221"/>
      <c r="BG99" s="365"/>
      <c r="BH99" s="223"/>
      <c r="BI99" s="55"/>
      <c r="BJ99" s="55"/>
      <c r="BK99" s="65"/>
      <c r="BL99" s="69"/>
      <c r="BM99" s="55"/>
      <c r="BN99" s="65"/>
      <c r="BO99" s="576"/>
      <c r="BP99" s="576">
        <f t="shared" si="47"/>
        <v>0</v>
      </c>
      <c r="BQ99" s="69">
        <f t="shared" si="35"/>
        <v>0</v>
      </c>
      <c r="BR99" s="55"/>
      <c r="BS99" s="55"/>
      <c r="BT99" s="223"/>
      <c r="BU99" s="223"/>
      <c r="BV99" s="347"/>
    </row>
    <row r="100" spans="1:74" x14ac:dyDescent="0.25">
      <c r="A100" s="54" t="s">
        <v>265</v>
      </c>
      <c r="B100" s="446" t="s">
        <v>266</v>
      </c>
      <c r="C100" s="55"/>
      <c r="D100" s="55"/>
      <c r="E100" s="55"/>
      <c r="F100" s="55"/>
      <c r="G100" s="55"/>
      <c r="H100" s="55"/>
      <c r="I100" s="55">
        <f t="shared" si="45"/>
        <v>0</v>
      </c>
      <c r="J100" s="55"/>
      <c r="K100" s="55"/>
      <c r="L100" s="55"/>
      <c r="M100" s="55">
        <f t="shared" si="46"/>
        <v>0</v>
      </c>
      <c r="N100" s="54"/>
      <c r="O100" s="55"/>
      <c r="P100" s="55"/>
      <c r="Q100" s="55"/>
      <c r="R100" s="55"/>
      <c r="S100" s="55"/>
      <c r="T100" s="55"/>
      <c r="U100" s="55"/>
      <c r="V100" s="69">
        <f t="shared" si="42"/>
        <v>0</v>
      </c>
      <c r="W100" s="69">
        <f t="shared" si="43"/>
        <v>0</v>
      </c>
      <c r="X100" s="122"/>
      <c r="Y100" s="54"/>
      <c r="Z100" s="207" t="e">
        <f t="shared" si="51"/>
        <v>#DIV/0!</v>
      </c>
      <c r="AA100" s="69">
        <f t="shared" si="44"/>
        <v>0</v>
      </c>
      <c r="AB100" s="55"/>
      <c r="AC100" s="55"/>
      <c r="AD100" s="55"/>
      <c r="AE100" s="123"/>
      <c r="AF100" s="65"/>
      <c r="AG100" s="65"/>
      <c r="AH100" s="215">
        <f t="shared" si="30"/>
        <v>0</v>
      </c>
      <c r="AI100" s="216">
        <f t="shared" si="33"/>
        <v>0</v>
      </c>
      <c r="AJ100" s="55"/>
      <c r="AK100" s="69">
        <f t="shared" si="40"/>
        <v>0</v>
      </c>
      <c r="AL100" s="54"/>
      <c r="AM100" s="54"/>
      <c r="AN100" s="54"/>
      <c r="AS100" s="54" t="e">
        <f t="shared" si="53"/>
        <v>#DIV/0!</v>
      </c>
      <c r="AU100" s="69"/>
      <c r="AW100" s="69">
        <f t="shared" si="55"/>
        <v>0</v>
      </c>
      <c r="AX100" s="55"/>
      <c r="AY100" s="69">
        <f t="shared" si="37"/>
        <v>0</v>
      </c>
      <c r="AZ100" s="55">
        <f t="shared" si="56"/>
        <v>0</v>
      </c>
      <c r="BA100" s="69">
        <f t="shared" si="57"/>
        <v>0</v>
      </c>
      <c r="BB100" s="501"/>
      <c r="BE100" s="501"/>
      <c r="BF100" s="221"/>
      <c r="BG100" s="365">
        <f t="shared" si="49"/>
        <v>0</v>
      </c>
      <c r="BH100" s="223"/>
      <c r="BI100" s="55"/>
      <c r="BJ100" s="55"/>
      <c r="BK100" s="65"/>
      <c r="BL100" s="69">
        <f t="shared" si="38"/>
        <v>0</v>
      </c>
      <c r="BM100" s="54"/>
      <c r="BN100" s="54"/>
      <c r="BO100" s="576"/>
      <c r="BP100" s="576">
        <f t="shared" si="47"/>
        <v>0</v>
      </c>
      <c r="BQ100" s="69">
        <f t="shared" si="35"/>
        <v>0</v>
      </c>
      <c r="BR100" s="55"/>
      <c r="BS100" s="55"/>
      <c r="BT100" s="223"/>
      <c r="BU100" s="223"/>
      <c r="BV100" s="347"/>
    </row>
    <row r="101" spans="1:74" x14ac:dyDescent="0.25">
      <c r="A101" s="54" t="s">
        <v>72</v>
      </c>
      <c r="B101" s="446" t="s">
        <v>174</v>
      </c>
      <c r="C101" s="55">
        <v>0</v>
      </c>
      <c r="D101" s="55">
        <v>0</v>
      </c>
      <c r="E101" s="55">
        <v>0</v>
      </c>
      <c r="F101" s="55">
        <v>0</v>
      </c>
      <c r="G101" s="55"/>
      <c r="H101" s="55"/>
      <c r="I101" s="55">
        <f t="shared" si="45"/>
        <v>0</v>
      </c>
      <c r="J101" s="55">
        <v>0</v>
      </c>
      <c r="K101" s="55">
        <v>0</v>
      </c>
      <c r="L101" s="55">
        <v>0</v>
      </c>
      <c r="M101" s="55">
        <f t="shared" si="46"/>
        <v>0</v>
      </c>
      <c r="N101" s="54"/>
      <c r="O101" s="55"/>
      <c r="P101" s="55"/>
      <c r="Q101" s="55"/>
      <c r="R101" s="55"/>
      <c r="S101" s="55"/>
      <c r="T101" s="55"/>
      <c r="U101" s="55"/>
      <c r="V101" s="69">
        <f t="shared" si="42"/>
        <v>0</v>
      </c>
      <c r="W101" s="69">
        <f t="shared" si="43"/>
        <v>0</v>
      </c>
      <c r="X101" s="122"/>
      <c r="Y101" s="54"/>
      <c r="Z101" s="207" t="e">
        <f t="shared" si="51"/>
        <v>#DIV/0!</v>
      </c>
      <c r="AA101" s="69">
        <f t="shared" si="44"/>
        <v>0</v>
      </c>
      <c r="AB101" s="55"/>
      <c r="AC101" s="55"/>
      <c r="AD101" s="55"/>
      <c r="AE101" s="123"/>
      <c r="AF101" s="65"/>
      <c r="AG101" s="65"/>
      <c r="AH101" s="221">
        <f t="shared" si="30"/>
        <v>0</v>
      </c>
      <c r="AI101" s="216">
        <f t="shared" si="33"/>
        <v>0</v>
      </c>
      <c r="AJ101" s="55"/>
      <c r="AK101" s="69">
        <f t="shared" si="40"/>
        <v>0</v>
      </c>
      <c r="AL101" s="54"/>
      <c r="AM101" s="54"/>
      <c r="AN101" s="54"/>
      <c r="AS101" s="54" t="e">
        <f t="shared" si="53"/>
        <v>#DIV/0!</v>
      </c>
      <c r="AU101" s="69"/>
      <c r="AW101" s="69">
        <f t="shared" si="55"/>
        <v>0</v>
      </c>
      <c r="AX101" s="55"/>
      <c r="AY101" s="69">
        <f t="shared" si="37"/>
        <v>0</v>
      </c>
      <c r="AZ101" s="55">
        <f t="shared" si="56"/>
        <v>0</v>
      </c>
      <c r="BA101" s="69">
        <f t="shared" si="57"/>
        <v>0</v>
      </c>
      <c r="BB101" s="501"/>
      <c r="BE101" s="501"/>
      <c r="BF101" s="221"/>
      <c r="BG101" s="365">
        <f t="shared" si="49"/>
        <v>0</v>
      </c>
      <c r="BH101" s="223"/>
      <c r="BI101" s="55"/>
      <c r="BJ101" s="55"/>
      <c r="BK101" s="65"/>
      <c r="BL101" s="69">
        <f t="shared" si="38"/>
        <v>0</v>
      </c>
      <c r="BM101" s="54"/>
      <c r="BN101" s="54"/>
      <c r="BO101" s="576"/>
      <c r="BP101" s="576">
        <f t="shared" si="47"/>
        <v>0</v>
      </c>
      <c r="BQ101" s="69">
        <f t="shared" si="35"/>
        <v>0</v>
      </c>
      <c r="BR101" s="55"/>
      <c r="BS101" s="55"/>
      <c r="BT101" s="223"/>
      <c r="BU101" s="223"/>
      <c r="BV101" s="347"/>
    </row>
    <row r="102" spans="1:74" x14ac:dyDescent="0.25">
      <c r="A102" s="54"/>
      <c r="B102" s="446"/>
      <c r="C102" s="55"/>
      <c r="D102" s="55"/>
      <c r="E102" s="55"/>
      <c r="F102" s="55"/>
      <c r="G102" s="55"/>
      <c r="H102" s="55"/>
      <c r="I102" s="55">
        <f t="shared" si="45"/>
        <v>0</v>
      </c>
      <c r="J102" s="55"/>
      <c r="K102" s="55"/>
      <c r="L102" s="55"/>
      <c r="M102" s="55">
        <f t="shared" si="46"/>
        <v>0</v>
      </c>
      <c r="N102" s="54"/>
      <c r="O102" s="55"/>
      <c r="P102" s="55"/>
      <c r="Q102" s="55"/>
      <c r="R102" s="55"/>
      <c r="S102" s="55"/>
      <c r="T102" s="55"/>
      <c r="U102" s="55"/>
      <c r="V102" s="54"/>
      <c r="W102" s="54"/>
      <c r="X102" s="122"/>
      <c r="Y102" s="54"/>
      <c r="Z102" s="54"/>
      <c r="AA102" s="54"/>
      <c r="AB102" s="54"/>
      <c r="AC102" s="54"/>
      <c r="AD102" s="54"/>
      <c r="AE102" s="123"/>
      <c r="AF102" s="65"/>
      <c r="AG102" s="65"/>
      <c r="AH102" s="221">
        <f t="shared" si="30"/>
        <v>0</v>
      </c>
      <c r="AI102" s="216">
        <f t="shared" si="33"/>
        <v>0</v>
      </c>
      <c r="AJ102" s="55"/>
      <c r="AK102" s="69">
        <f t="shared" si="40"/>
        <v>0</v>
      </c>
      <c r="AL102" s="54"/>
      <c r="AM102" s="54"/>
      <c r="AN102" s="54"/>
      <c r="AP102" s="232"/>
      <c r="AQ102" s="232"/>
      <c r="AS102" s="54" t="e">
        <f t="shared" si="53"/>
        <v>#DIV/0!</v>
      </c>
      <c r="AW102" s="69">
        <f t="shared" si="55"/>
        <v>0</v>
      </c>
      <c r="AX102" s="55"/>
      <c r="AY102" s="69">
        <f t="shared" si="37"/>
        <v>0</v>
      </c>
      <c r="AZ102" s="55">
        <f t="shared" si="56"/>
        <v>0</v>
      </c>
      <c r="BA102" s="69">
        <f t="shared" si="57"/>
        <v>0</v>
      </c>
      <c r="BC102" s="507"/>
      <c r="BD102" s="507"/>
      <c r="BF102" s="219"/>
      <c r="BJ102" s="55"/>
      <c r="BO102" s="644"/>
      <c r="BP102" s="644"/>
      <c r="BQ102"/>
      <c r="BU102" s="223"/>
      <c r="BV102" s="347"/>
    </row>
    <row r="103" spans="1:74" x14ac:dyDescent="0.25">
      <c r="A103" s="11" t="s">
        <v>3</v>
      </c>
      <c r="B103" s="12"/>
      <c r="C103" s="1">
        <f t="shared" ref="C103:H103" si="58">SUM(C2:C37)</f>
        <v>52506940.899999999</v>
      </c>
      <c r="D103" s="1">
        <f t="shared" si="58"/>
        <v>49876666</v>
      </c>
      <c r="E103" s="1">
        <f t="shared" si="58"/>
        <v>68067735</v>
      </c>
      <c r="F103" s="1">
        <f t="shared" si="58"/>
        <v>60191966</v>
      </c>
      <c r="G103" s="1">
        <f t="shared" si="58"/>
        <v>73058630</v>
      </c>
      <c r="H103" s="1">
        <f t="shared" si="58"/>
        <v>66484534</v>
      </c>
      <c r="I103" s="1">
        <f t="shared" si="45"/>
        <v>72528582.545454547</v>
      </c>
      <c r="J103" s="1">
        <f>SUM(J2:J37)</f>
        <v>78245266</v>
      </c>
      <c r="K103" s="1">
        <v>74682699.786666662</v>
      </c>
      <c r="L103" s="1" t="e">
        <f>SUM(L2:L37)</f>
        <v>#REF!</v>
      </c>
      <c r="M103" s="1" t="e">
        <f t="shared" si="46"/>
        <v>#REF!</v>
      </c>
      <c r="N103" s="52"/>
      <c r="O103" s="1">
        <f t="shared" ref="O103:W103" si="59">SUM(O2:O37)</f>
        <v>78953464</v>
      </c>
      <c r="P103" s="1">
        <f t="shared" si="59"/>
        <v>61354334</v>
      </c>
      <c r="Q103" s="1">
        <f t="shared" si="59"/>
        <v>70327799</v>
      </c>
      <c r="R103" s="1">
        <f t="shared" si="59"/>
        <v>88378430.471100003</v>
      </c>
      <c r="S103" s="1">
        <f t="shared" si="59"/>
        <v>78953464</v>
      </c>
      <c r="T103" s="1">
        <f t="shared" si="59"/>
        <v>79016802</v>
      </c>
      <c r="U103" s="1">
        <f t="shared" si="59"/>
        <v>86733153</v>
      </c>
      <c r="V103" s="1">
        <f t="shared" si="59"/>
        <v>86733153</v>
      </c>
      <c r="W103" s="1">
        <f t="shared" si="59"/>
        <v>82428028</v>
      </c>
      <c r="X103" s="120">
        <f t="shared" si="50"/>
        <v>91.103343147227676</v>
      </c>
      <c r="AA103" s="1">
        <f t="shared" ref="AA103:AR103" si="60">SUM(AA2:AA37)</f>
        <v>80028028</v>
      </c>
      <c r="AB103" s="1">
        <f t="shared" si="60"/>
        <v>50659363</v>
      </c>
      <c r="AC103" s="1">
        <f t="shared" si="60"/>
        <v>64020750</v>
      </c>
      <c r="AD103" s="1">
        <f t="shared" si="60"/>
        <v>63229577</v>
      </c>
      <c r="AE103" s="1">
        <f t="shared" si="60"/>
        <v>6633396.1389672784</v>
      </c>
      <c r="AF103" s="1">
        <f t="shared" si="60"/>
        <v>80755028</v>
      </c>
      <c r="AG103" s="1">
        <f t="shared" si="60"/>
        <v>77606261</v>
      </c>
      <c r="AH103" s="1">
        <f t="shared" si="60"/>
        <v>82272865.599999994</v>
      </c>
      <c r="AI103" s="1">
        <f t="shared" si="60"/>
        <v>93653686.576000005</v>
      </c>
      <c r="AJ103" s="1">
        <f t="shared" si="60"/>
        <v>0</v>
      </c>
      <c r="AK103" s="1">
        <f t="shared" si="60"/>
        <v>87979179.57599999</v>
      </c>
      <c r="AL103" s="1">
        <f t="shared" si="60"/>
        <v>0</v>
      </c>
      <c r="AM103" s="1">
        <f t="shared" si="60"/>
        <v>91168285</v>
      </c>
      <c r="AN103" s="1">
        <f t="shared" si="60"/>
        <v>85349809</v>
      </c>
      <c r="AO103" s="1">
        <f t="shared" si="60"/>
        <v>43813811</v>
      </c>
      <c r="AP103" s="1">
        <f t="shared" si="60"/>
        <v>85349809</v>
      </c>
      <c r="AQ103" s="1">
        <f t="shared" si="60"/>
        <v>77132354</v>
      </c>
      <c r="AR103" s="1">
        <f t="shared" si="60"/>
        <v>12467788</v>
      </c>
      <c r="AS103" s="259">
        <f t="shared" si="53"/>
        <v>90.372028834885853</v>
      </c>
      <c r="AT103" s="211">
        <f t="shared" ref="AT103:AU103" si="61">SUM(AT2:AT37)</f>
        <v>79292809</v>
      </c>
      <c r="AU103" s="211">
        <f t="shared" si="61"/>
        <v>6077677</v>
      </c>
      <c r="AV103"/>
      <c r="AW103" s="71">
        <f t="shared" ref="AW103" si="62">SUM(AW2:AW37)</f>
        <v>87979179.170000002</v>
      </c>
      <c r="AX103" s="71">
        <f t="shared" ref="AX103:AY103" si="63">SUM(AX2:AX37)</f>
        <v>99360715.24000001</v>
      </c>
      <c r="AY103" s="71">
        <f t="shared" si="63"/>
        <v>96270991.960000008</v>
      </c>
      <c r="AZ103" s="71">
        <f t="shared" ref="AZ103:BE103" si="64">SUM(AZ2:AZ37)</f>
        <v>97999265.75</v>
      </c>
      <c r="BA103" s="71">
        <f t="shared" si="64"/>
        <v>102091105.71000001</v>
      </c>
      <c r="BB103" s="501">
        <f t="shared" si="64"/>
        <v>97999266</v>
      </c>
      <c r="BC103" s="501">
        <f t="shared" si="64"/>
        <v>99206091</v>
      </c>
      <c r="BD103" s="501">
        <f t="shared" si="64"/>
        <v>55885462</v>
      </c>
      <c r="BE103" s="501">
        <f t="shared" si="64"/>
        <v>68848517</v>
      </c>
      <c r="BF103" s="221">
        <f t="shared" ref="BF103:BG103" si="65">SUM(BF2:BF37)</f>
        <v>76244339</v>
      </c>
      <c r="BG103" s="359">
        <f t="shared" si="65"/>
        <v>91493206.799999997</v>
      </c>
      <c r="BH103" s="366">
        <f t="shared" ref="BH103:BL103" si="66">SUM(BH2:BH37)</f>
        <v>101520638</v>
      </c>
      <c r="BI103" s="359">
        <f t="shared" si="66"/>
        <v>111408954</v>
      </c>
      <c r="BJ103" s="359">
        <f t="shared" si="66"/>
        <v>60724263</v>
      </c>
      <c r="BK103" s="65">
        <f t="shared" si="66"/>
        <v>96812511</v>
      </c>
      <c r="BL103" s="65">
        <f t="shared" si="66"/>
        <v>102092574</v>
      </c>
      <c r="BM103" s="65">
        <f t="shared" ref="BM103:BN103" si="67">SUM(BM2:BM37)</f>
        <v>123076196</v>
      </c>
      <c r="BN103" s="642">
        <f t="shared" si="67"/>
        <v>123076196</v>
      </c>
      <c r="BO103" s="639">
        <f t="shared" ref="BO103:BQ103" si="68">SUM(BO2:BO37)</f>
        <v>119474375</v>
      </c>
      <c r="BP103" s="639">
        <f t="shared" ref="BP103" si="69">SUM(BP2:BP37)</f>
        <v>117984330.40000001</v>
      </c>
      <c r="BQ103" s="642">
        <f t="shared" si="68"/>
        <v>129375598</v>
      </c>
      <c r="BR103" s="642">
        <f t="shared" ref="BR103:BS103" si="70">SUM(BR2:BR37)</f>
        <v>141398303</v>
      </c>
      <c r="BS103" s="642">
        <f t="shared" si="70"/>
        <v>141398303</v>
      </c>
      <c r="BT103" s="642">
        <f>SUM(BT2:BT37)</f>
        <v>139544484</v>
      </c>
      <c r="BU103" s="817">
        <f>SUM(BU2:BU37)</f>
        <v>142926500</v>
      </c>
      <c r="BV103" s="642">
        <f>SUM(BV2:BV37)</f>
        <v>141812376</v>
      </c>
    </row>
    <row r="104" spans="1:74" x14ac:dyDescent="0.25">
      <c r="A104" s="11" t="s">
        <v>4</v>
      </c>
      <c r="B104" s="12"/>
      <c r="C104" s="1">
        <f>SUM(C38:C101)</f>
        <v>52506453</v>
      </c>
      <c r="D104" s="1">
        <f t="shared" ref="D104:L104" si="71">SUM(D38:D101)</f>
        <v>52215419</v>
      </c>
      <c r="E104" s="1">
        <f t="shared" si="71"/>
        <v>68067735.49666667</v>
      </c>
      <c r="F104" s="1">
        <f t="shared" si="71"/>
        <v>54107683</v>
      </c>
      <c r="G104" s="1">
        <f t="shared" ref="G104:H104" si="72">SUM(G38:G101)</f>
        <v>73058629.680000007</v>
      </c>
      <c r="H104" s="1">
        <f t="shared" si="72"/>
        <v>59799161</v>
      </c>
      <c r="I104" s="1">
        <f t="shared" si="45"/>
        <v>65235448.36363636</v>
      </c>
      <c r="J104" s="1">
        <f t="shared" ref="J104" si="73">SUM(J38:J101)</f>
        <v>78245266</v>
      </c>
      <c r="K104" s="1">
        <v>74682699.786666662</v>
      </c>
      <c r="L104" s="1" t="e">
        <f t="shared" si="71"/>
        <v>#REF!</v>
      </c>
      <c r="M104" s="1" t="e">
        <f t="shared" si="46"/>
        <v>#REF!</v>
      </c>
      <c r="O104" s="1">
        <f t="shared" ref="O104" si="74">SUM(O38:O101)</f>
        <v>78953464</v>
      </c>
      <c r="P104" s="1">
        <f>SUM(P38:P101)</f>
        <v>55150700</v>
      </c>
      <c r="Q104" s="1">
        <f>SUM(Q38:Q101)</f>
        <v>60356273</v>
      </c>
      <c r="R104" s="1">
        <f>SUM(R38:R101)</f>
        <v>88378430.471100003</v>
      </c>
      <c r="S104" s="1">
        <f t="shared" ref="S104:T104" si="75">SUM(S38:S101)</f>
        <v>78953464</v>
      </c>
      <c r="T104" s="1">
        <f t="shared" si="75"/>
        <v>72384902</v>
      </c>
      <c r="U104" s="1">
        <f t="shared" ref="U104:W104" si="76">SUM(U38:U101)</f>
        <v>86733153</v>
      </c>
      <c r="V104" s="1">
        <f t="shared" si="76"/>
        <v>80308028</v>
      </c>
      <c r="W104" s="1">
        <f t="shared" si="76"/>
        <v>82428028</v>
      </c>
      <c r="X104" s="120">
        <f t="shared" si="50"/>
        <v>90.134079746049807</v>
      </c>
      <c r="AA104" s="1">
        <f t="shared" ref="AA104:AR104" si="77">SUM(AA38:AA101)</f>
        <v>80028028</v>
      </c>
      <c r="AB104" s="1">
        <f t="shared" si="77"/>
        <v>43271253</v>
      </c>
      <c r="AC104" s="1">
        <f t="shared" si="77"/>
        <v>56632640</v>
      </c>
      <c r="AD104" s="1">
        <f t="shared" si="77"/>
        <v>55720356</v>
      </c>
      <c r="AE104" s="1">
        <f t="shared" si="77"/>
        <v>1495.1389672783459</v>
      </c>
      <c r="AF104" s="1">
        <f t="shared" si="77"/>
        <v>75576229</v>
      </c>
      <c r="AG104" s="1">
        <f t="shared" si="77"/>
        <v>62014751</v>
      </c>
      <c r="AH104" s="1">
        <f t="shared" si="77"/>
        <v>66970108.254545458</v>
      </c>
      <c r="AI104" s="1">
        <f t="shared" si="77"/>
        <v>93653686.57599999</v>
      </c>
      <c r="AJ104" s="1">
        <f t="shared" si="77"/>
        <v>2633669</v>
      </c>
      <c r="AK104" s="1">
        <f t="shared" si="77"/>
        <v>87979179.57599999</v>
      </c>
      <c r="AL104" s="1">
        <f t="shared" si="77"/>
        <v>0</v>
      </c>
      <c r="AM104" s="1">
        <f t="shared" si="77"/>
        <v>86999397</v>
      </c>
      <c r="AN104" s="1">
        <f t="shared" si="77"/>
        <v>85349809</v>
      </c>
      <c r="AO104" s="1">
        <f t="shared" si="77"/>
        <v>44306667</v>
      </c>
      <c r="AP104" s="1">
        <f t="shared" si="77"/>
        <v>85826722</v>
      </c>
      <c r="AQ104" s="1">
        <f t="shared" si="77"/>
        <v>63262478</v>
      </c>
      <c r="AR104" s="1">
        <f t="shared" si="77"/>
        <v>24017493</v>
      </c>
      <c r="AS104" s="259">
        <f t="shared" si="53"/>
        <v>73.709535358929358</v>
      </c>
      <c r="AT104" s="211">
        <f t="shared" ref="AT104:AU104" si="78">SUM(AT38:AT101)</f>
        <v>70354561</v>
      </c>
      <c r="AU104" s="211">
        <f t="shared" si="78"/>
        <v>15472161</v>
      </c>
      <c r="AV104"/>
      <c r="AW104" s="71">
        <f t="shared" ref="AW104" si="79">SUM(AW38:AW101)</f>
        <v>87979179.170000002</v>
      </c>
      <c r="AX104" s="71">
        <f t="shared" ref="AX104:AY104" si="80">SUM(AX38:AX101)</f>
        <v>99360715.24000001</v>
      </c>
      <c r="AY104" s="71">
        <f t="shared" si="80"/>
        <v>96270991.960000008</v>
      </c>
      <c r="AZ104" s="71">
        <f t="shared" ref="AZ104:BE104" si="81">SUM(AZ38:AZ101)</f>
        <v>97999265.75</v>
      </c>
      <c r="BA104" s="71">
        <f t="shared" si="81"/>
        <v>99360714.710000008</v>
      </c>
      <c r="BB104" s="501">
        <f t="shared" si="81"/>
        <v>97892326</v>
      </c>
      <c r="BC104" s="501">
        <f t="shared" si="81"/>
        <v>99306091</v>
      </c>
      <c r="BD104" s="501">
        <f t="shared" si="81"/>
        <v>51736087</v>
      </c>
      <c r="BE104" s="501">
        <f t="shared" si="81"/>
        <v>64033573</v>
      </c>
      <c r="BF104" s="221">
        <f t="shared" ref="BF104:BG104" si="82">SUM(BF38:BF101)</f>
        <v>71404263</v>
      </c>
      <c r="BG104" s="359">
        <f t="shared" si="82"/>
        <v>79310671.74545452</v>
      </c>
      <c r="BH104" s="366">
        <f t="shared" ref="BH104:BL104" si="83">SUM(BH38:BH101)</f>
        <v>101520637.64000002</v>
      </c>
      <c r="BI104" s="359">
        <f t="shared" si="83"/>
        <v>111408954</v>
      </c>
      <c r="BJ104" s="359">
        <f t="shared" si="83"/>
        <v>49831964</v>
      </c>
      <c r="BK104" s="65">
        <f t="shared" si="83"/>
        <v>81052654</v>
      </c>
      <c r="BL104" s="65">
        <f t="shared" si="83"/>
        <v>102092574.00000001</v>
      </c>
      <c r="BM104" s="65">
        <f t="shared" ref="BM104:BN104" si="84">SUM(BM38:BM101)</f>
        <v>123076196.01000001</v>
      </c>
      <c r="BN104" s="642">
        <f t="shared" si="84"/>
        <v>123076196.01000001</v>
      </c>
      <c r="BO104" s="639">
        <f t="shared" ref="BO104:BQ104" si="85">SUM(BO38:BO101)</f>
        <v>96020557</v>
      </c>
      <c r="BP104" s="639">
        <f t="shared" ref="BP104" si="86">SUM(BP38:BP101)</f>
        <v>117984329.99999999</v>
      </c>
      <c r="BQ104" s="642">
        <f t="shared" si="85"/>
        <v>129375598.44000003</v>
      </c>
      <c r="BR104" s="642">
        <f t="shared" ref="BR104:BS104" si="87">SUM(BR38:BR101)</f>
        <v>141398303</v>
      </c>
      <c r="BS104" s="642">
        <f t="shared" si="87"/>
        <v>141398303</v>
      </c>
      <c r="BT104" s="642">
        <f t="shared" ref="BT104:BV104" si="88">SUM(BT38:BT101)</f>
        <v>139544484.25</v>
      </c>
      <c r="BU104" s="817">
        <f t="shared" si="88"/>
        <v>142926500</v>
      </c>
      <c r="BV104" s="642">
        <f t="shared" si="88"/>
        <v>141812376</v>
      </c>
    </row>
    <row r="105" spans="1:74" x14ac:dyDescent="0.25">
      <c r="A105" s="11"/>
      <c r="B105" s="451" t="s">
        <v>308</v>
      </c>
      <c r="C105" s="1">
        <f>SUM(C39:C55)</f>
        <v>39670147</v>
      </c>
      <c r="D105" s="1">
        <f t="shared" ref="D105:L105" si="89">SUM(D39:D55)</f>
        <v>38755153</v>
      </c>
      <c r="E105" s="1">
        <f t="shared" si="89"/>
        <v>49804695.346666664</v>
      </c>
      <c r="F105" s="1">
        <f t="shared" si="89"/>
        <v>42691502</v>
      </c>
      <c r="G105" s="1">
        <f t="shared" si="89"/>
        <v>49804695.68</v>
      </c>
      <c r="H105" s="1">
        <f t="shared" si="89"/>
        <v>47575720</v>
      </c>
      <c r="I105" s="1">
        <f t="shared" si="45"/>
        <v>51900785.454545453</v>
      </c>
      <c r="J105" s="1">
        <f t="shared" ref="J105" si="90">SUM(J39:J55)</f>
        <v>58846266</v>
      </c>
      <c r="K105" s="1">
        <v>59066699.786666662</v>
      </c>
      <c r="L105" s="1" t="e">
        <f t="shared" si="89"/>
        <v>#REF!</v>
      </c>
      <c r="M105" s="1" t="e">
        <f t="shared" si="46"/>
        <v>#REF!</v>
      </c>
      <c r="N105" s="52"/>
      <c r="O105" s="1">
        <f t="shared" ref="O105" si="91">SUM(O39:O55)</f>
        <v>59066700</v>
      </c>
      <c r="P105" s="1">
        <f>SUM(P39:P55)</f>
        <v>43382962</v>
      </c>
      <c r="Q105" s="1">
        <f>SUM(Q39:Q55)</f>
        <v>47702628</v>
      </c>
      <c r="R105" s="1">
        <f>SUM(R39:R55)</f>
        <v>69459462.471100003</v>
      </c>
      <c r="S105" s="1">
        <f t="shared" ref="S105:T105" si="92">SUM(S39:S55)</f>
        <v>59066700</v>
      </c>
      <c r="T105" s="1">
        <f t="shared" si="92"/>
        <v>58174986</v>
      </c>
      <c r="U105" s="1">
        <f t="shared" ref="U105:W105" si="93">SUM(U39:U55)</f>
        <v>67956185</v>
      </c>
      <c r="V105" s="1">
        <f t="shared" si="93"/>
        <v>67956185</v>
      </c>
      <c r="W105" s="1">
        <f t="shared" si="93"/>
        <v>67676185</v>
      </c>
      <c r="X105" s="120">
        <f t="shared" si="50"/>
        <v>85.606609611766757</v>
      </c>
      <c r="AA105" s="1">
        <f t="shared" ref="AA105:AR105" si="94">SUM(AA39:AA55)</f>
        <v>67676185</v>
      </c>
      <c r="AB105" s="1">
        <f t="shared" si="94"/>
        <v>33581845</v>
      </c>
      <c r="AC105" s="1">
        <f t="shared" si="94"/>
        <v>45126407</v>
      </c>
      <c r="AD105" s="1">
        <f t="shared" si="94"/>
        <v>43162221</v>
      </c>
      <c r="AE105" s="1">
        <f t="shared" si="94"/>
        <v>568.93213595949726</v>
      </c>
      <c r="AF105" s="1">
        <f t="shared" si="94"/>
        <v>56348485</v>
      </c>
      <c r="AG105" s="1">
        <f t="shared" si="94"/>
        <v>48192347</v>
      </c>
      <c r="AH105" s="1">
        <f t="shared" si="94"/>
        <v>52573469.454545453</v>
      </c>
      <c r="AI105" s="1">
        <f t="shared" si="94"/>
        <v>67956185</v>
      </c>
      <c r="AJ105" s="1">
        <f t="shared" si="94"/>
        <v>0</v>
      </c>
      <c r="AK105" s="1">
        <f t="shared" si="94"/>
        <v>68206678</v>
      </c>
      <c r="AL105" s="1">
        <f t="shared" si="94"/>
        <v>0</v>
      </c>
      <c r="AM105" s="1">
        <f t="shared" si="94"/>
        <v>71390294</v>
      </c>
      <c r="AN105" s="1">
        <f t="shared" si="94"/>
        <v>68206678</v>
      </c>
      <c r="AO105" s="1">
        <f t="shared" si="94"/>
        <v>34592443</v>
      </c>
      <c r="AP105" s="1">
        <f t="shared" si="94"/>
        <v>68206678</v>
      </c>
      <c r="AQ105" s="1">
        <f t="shared" si="94"/>
        <v>50482129</v>
      </c>
      <c r="AR105" s="1">
        <f t="shared" si="94"/>
        <v>18844136</v>
      </c>
      <c r="AS105" s="259">
        <f t="shared" si="53"/>
        <v>74.013469766112934</v>
      </c>
      <c r="AT105" s="211">
        <f t="shared" ref="AT105:AU105" si="95">SUM(AT39:AT55)</f>
        <v>55874079</v>
      </c>
      <c r="AU105" s="211">
        <f t="shared" si="95"/>
        <v>12332599</v>
      </c>
      <c r="AV105"/>
      <c r="AW105" s="71">
        <f t="shared" ref="AW105" si="96">SUM(AW39:AW55)</f>
        <v>68206678</v>
      </c>
      <c r="AX105" s="71">
        <f t="shared" ref="AX105:AY105" si="97">SUM(AX39:AX55)</f>
        <v>73663212.24000001</v>
      </c>
      <c r="AY105" s="71">
        <f t="shared" si="97"/>
        <v>70573488.960000008</v>
      </c>
      <c r="AZ105" s="71">
        <f t="shared" ref="AZ105:BE105" si="98">SUM(AZ39:AZ55)</f>
        <v>72301763</v>
      </c>
      <c r="BA105" s="71">
        <f t="shared" si="98"/>
        <v>73663211.960000008</v>
      </c>
      <c r="BB105" s="501">
        <f t="shared" si="98"/>
        <v>72301763</v>
      </c>
      <c r="BC105" s="501">
        <f t="shared" si="98"/>
        <v>72301763</v>
      </c>
      <c r="BD105" s="501">
        <f t="shared" si="98"/>
        <v>41788545</v>
      </c>
      <c r="BE105" s="501">
        <f t="shared" si="98"/>
        <v>52602455</v>
      </c>
      <c r="BF105" s="221">
        <f t="shared" ref="BF105:BG105" si="99">SUM(BF39:BF55)</f>
        <v>58432402</v>
      </c>
      <c r="BG105" s="359">
        <f t="shared" si="99"/>
        <v>63744438.545454532</v>
      </c>
      <c r="BH105" s="366">
        <f t="shared" ref="BH105:BL105" si="100">SUM(BH39:BH55)</f>
        <v>80838474</v>
      </c>
      <c r="BI105" s="359">
        <f t="shared" si="100"/>
        <v>84752484</v>
      </c>
      <c r="BJ105" s="359">
        <f t="shared" si="100"/>
        <v>40634113</v>
      </c>
      <c r="BK105" s="65">
        <f t="shared" si="100"/>
        <v>66249447</v>
      </c>
      <c r="BL105" s="65">
        <f t="shared" si="100"/>
        <v>84752484</v>
      </c>
      <c r="BM105" s="65">
        <f t="shared" ref="BM105:BN105" si="101">SUM(BM39:BM55)</f>
        <v>102072196.01000001</v>
      </c>
      <c r="BN105" s="642">
        <f t="shared" si="101"/>
        <v>102072196.01000001</v>
      </c>
      <c r="BO105" s="639">
        <f t="shared" ref="BO105:BQ105" si="102">SUM(BO39:BO55)</f>
        <v>79513506</v>
      </c>
      <c r="BP105" s="639">
        <f t="shared" ref="BP105" si="103">SUM(BP39:BP55)</f>
        <v>98433385.199999988</v>
      </c>
      <c r="BQ105" s="642">
        <f t="shared" si="102"/>
        <v>108276723.72</v>
      </c>
      <c r="BR105" s="642">
        <f t="shared" ref="BR105:BS105" si="104">SUM(BR39:BR55)</f>
        <v>115704787</v>
      </c>
      <c r="BS105" s="642">
        <f t="shared" si="104"/>
        <v>115704787</v>
      </c>
      <c r="BT105" s="642">
        <f t="shared" ref="BT105:BV105" si="105">SUM(BT39:BT55)</f>
        <v>115704787</v>
      </c>
      <c r="BU105" s="817">
        <f t="shared" si="105"/>
        <v>117011500</v>
      </c>
      <c r="BV105" s="642">
        <f t="shared" si="105"/>
        <v>118076376</v>
      </c>
    </row>
    <row r="106" spans="1:74" x14ac:dyDescent="0.25">
      <c r="A106" s="11"/>
      <c r="B106" s="451" t="s">
        <v>309</v>
      </c>
      <c r="C106" s="1">
        <f>SUM(C56:C88)+C100+C101</f>
        <v>12836306</v>
      </c>
      <c r="D106" s="1">
        <f t="shared" ref="D106:L106" si="106">SUM(D56:D88)+D100+D101</f>
        <v>12724380</v>
      </c>
      <c r="E106" s="1">
        <f t="shared" si="106"/>
        <v>13554456</v>
      </c>
      <c r="F106" s="1">
        <f t="shared" si="106"/>
        <v>11005741</v>
      </c>
      <c r="G106" s="1">
        <f t="shared" si="106"/>
        <v>18545350</v>
      </c>
      <c r="H106" s="1">
        <f t="shared" si="106"/>
        <v>11813001</v>
      </c>
      <c r="I106" s="1">
        <f t="shared" si="45"/>
        <v>12886910.181818182</v>
      </c>
      <c r="J106" s="1">
        <f t="shared" ref="J106" si="107">SUM(J56:J88)+J100+J101</f>
        <v>14149000</v>
      </c>
      <c r="K106" s="1">
        <v>10366000</v>
      </c>
      <c r="L106" s="1">
        <f t="shared" si="106"/>
        <v>10366000</v>
      </c>
      <c r="M106" s="1">
        <f t="shared" si="46"/>
        <v>80.438210973373032</v>
      </c>
      <c r="O106" s="1">
        <f t="shared" ref="O106" si="108">SUM(O56:O88)+O100+O101</f>
        <v>15932764</v>
      </c>
      <c r="P106" s="1">
        <f>SUM(P56:P88)+P100+P101</f>
        <v>9496067</v>
      </c>
      <c r="Q106" s="1">
        <f>SUM(Q56:Q88)+Q100+Q101</f>
        <v>10381974</v>
      </c>
      <c r="R106" s="1">
        <f>SUM(R56:R88)+R100+R101</f>
        <v>10466000</v>
      </c>
      <c r="S106" s="1">
        <f t="shared" ref="S106:T106" si="109">SUM(S56:S88)+S100+S101</f>
        <v>15932764</v>
      </c>
      <c r="T106" s="1">
        <f t="shared" si="109"/>
        <v>11580045</v>
      </c>
      <c r="U106" s="1">
        <f t="shared" ref="U106:W106" si="110">SUM(U56:U88)+U100+U101</f>
        <v>10484000</v>
      </c>
      <c r="V106" s="1">
        <f t="shared" si="110"/>
        <v>10484000</v>
      </c>
      <c r="W106" s="1">
        <f t="shared" si="110"/>
        <v>10484000</v>
      </c>
      <c r="X106" s="120">
        <f t="shared" si="50"/>
        <v>110.454454406715</v>
      </c>
      <c r="AA106" s="1">
        <f t="shared" ref="AA106:AR106" si="111">SUM(AA56:AA88)+AA100+AA101</f>
        <v>10484000</v>
      </c>
      <c r="AB106" s="1">
        <f t="shared" si="111"/>
        <v>8215566</v>
      </c>
      <c r="AC106" s="1">
        <f t="shared" si="111"/>
        <v>9697411</v>
      </c>
      <c r="AD106" s="1">
        <f t="shared" si="111"/>
        <v>10732930</v>
      </c>
      <c r="AE106" s="1">
        <f t="shared" si="111"/>
        <v>828.48957135642138</v>
      </c>
      <c r="AF106" s="1">
        <f t="shared" si="111"/>
        <v>16632901</v>
      </c>
      <c r="AG106" s="1">
        <f t="shared" si="111"/>
        <v>11997199</v>
      </c>
      <c r="AH106" s="1">
        <f t="shared" si="111"/>
        <v>14396638.800000001</v>
      </c>
      <c r="AI106" s="1">
        <f t="shared" si="111"/>
        <v>16988571.576000001</v>
      </c>
      <c r="AJ106" s="1">
        <f t="shared" si="111"/>
        <v>2633669</v>
      </c>
      <c r="AK106" s="1">
        <f t="shared" si="111"/>
        <v>16988571.576000001</v>
      </c>
      <c r="AL106" s="1">
        <f t="shared" si="111"/>
        <v>0</v>
      </c>
      <c r="AM106" s="1">
        <f t="shared" si="111"/>
        <v>13783898</v>
      </c>
      <c r="AN106" s="1">
        <f t="shared" si="111"/>
        <v>16884685</v>
      </c>
      <c r="AO106" s="1">
        <f t="shared" si="111"/>
        <v>9559665</v>
      </c>
      <c r="AP106" s="1">
        <f t="shared" si="111"/>
        <v>16624685</v>
      </c>
      <c r="AQ106" s="1">
        <f t="shared" si="111"/>
        <v>12521904</v>
      </c>
      <c r="AR106" s="1">
        <f t="shared" si="111"/>
        <v>4436443</v>
      </c>
      <c r="AS106" s="259">
        <f t="shared" si="53"/>
        <v>75.321150445858081</v>
      </c>
      <c r="AT106" s="211">
        <f t="shared" ref="AT106:AU106" si="112">SUM(AT56:AT88)+AT100+AT101</f>
        <v>13993945</v>
      </c>
      <c r="AU106" s="211">
        <f t="shared" si="112"/>
        <v>2630740</v>
      </c>
      <c r="AV106"/>
      <c r="AW106" s="71">
        <f t="shared" ref="AW106" si="113">SUM(AW56:AW88)+AW100+AW101</f>
        <v>16988571</v>
      </c>
      <c r="AX106" s="71">
        <f t="shared" ref="AX106:AY106" si="114">SUM(AX56:AX88)+AX100+AX101</f>
        <v>16988573</v>
      </c>
      <c r="AY106" s="71">
        <f t="shared" si="114"/>
        <v>16988573</v>
      </c>
      <c r="AZ106" s="71">
        <f t="shared" ref="AZ106:BE106" si="115">SUM(AZ56:AZ88)+AZ100+AZ101</f>
        <v>16988573</v>
      </c>
      <c r="BA106" s="71">
        <f t="shared" si="115"/>
        <v>16988573</v>
      </c>
      <c r="BB106" s="501">
        <f t="shared" si="115"/>
        <v>16881633</v>
      </c>
      <c r="BC106" s="501">
        <f t="shared" si="115"/>
        <v>18232565</v>
      </c>
      <c r="BD106" s="501">
        <f t="shared" si="115"/>
        <v>9606855</v>
      </c>
      <c r="BE106" s="501">
        <f t="shared" si="115"/>
        <v>11090431</v>
      </c>
      <c r="BF106" s="221">
        <f t="shared" ref="BF106:BG106" si="116">SUM(BF56:BF88)+BF100+BF101</f>
        <v>12631174</v>
      </c>
      <c r="BG106" s="359">
        <f t="shared" si="116"/>
        <v>15157408.800000001</v>
      </c>
      <c r="BH106" s="366">
        <f t="shared" ref="BH106:BL106" si="117">SUM(BH56:BH88)+BH100+BH101</f>
        <v>18232163.640000001</v>
      </c>
      <c r="BI106" s="359">
        <f t="shared" si="117"/>
        <v>26303338</v>
      </c>
      <c r="BJ106" s="359">
        <f t="shared" si="117"/>
        <v>8844719</v>
      </c>
      <c r="BK106" s="65">
        <f t="shared" si="117"/>
        <v>14450075</v>
      </c>
      <c r="BL106" s="65">
        <f t="shared" si="117"/>
        <v>17340090</v>
      </c>
      <c r="BM106" s="65">
        <f t="shared" ref="BM106:BQ106" si="118">SUM(BM56:BM88)+BM100+BM101</f>
        <v>21004000</v>
      </c>
      <c r="BN106" s="642">
        <f t="shared" ref="BN106" si="119">SUM(BN56:BN88)+BN100+BN101</f>
        <v>21004000</v>
      </c>
      <c r="BO106" s="639">
        <f t="shared" si="118"/>
        <v>16292454</v>
      </c>
      <c r="BP106" s="639">
        <f t="shared" ref="BP106" si="120">SUM(BP56:BP88)+BP100+BP101</f>
        <v>19550944.800000001</v>
      </c>
      <c r="BQ106" s="642">
        <f t="shared" si="118"/>
        <v>21098874.720000003</v>
      </c>
      <c r="BR106" s="642">
        <f t="shared" ref="BR106:BS106" si="121">SUM(BR56:BR88)+BR100+BR101</f>
        <v>22593516</v>
      </c>
      <c r="BS106" s="642">
        <f t="shared" si="121"/>
        <v>22593516</v>
      </c>
      <c r="BT106" s="642">
        <f t="shared" ref="BT106:BV106" si="122">SUM(BT56:BT88)+BT100+BT101</f>
        <v>20739697.25</v>
      </c>
      <c r="BU106" s="817">
        <f t="shared" si="122"/>
        <v>21165000</v>
      </c>
      <c r="BV106" s="642">
        <f t="shared" si="122"/>
        <v>17640000</v>
      </c>
    </row>
    <row r="107" spans="1:74" x14ac:dyDescent="0.25">
      <c r="A107" s="11"/>
      <c r="B107" s="451" t="s">
        <v>310</v>
      </c>
      <c r="C107" s="1">
        <f>SUM(C89:C98)</f>
        <v>0</v>
      </c>
      <c r="D107" s="1">
        <f t="shared" ref="D107:L107" si="123">SUM(D89:D98)</f>
        <v>735886</v>
      </c>
      <c r="E107" s="1">
        <f t="shared" si="123"/>
        <v>4708584.1500000004</v>
      </c>
      <c r="F107" s="1">
        <f t="shared" si="123"/>
        <v>410440</v>
      </c>
      <c r="G107" s="1">
        <f t="shared" si="123"/>
        <v>4708584</v>
      </c>
      <c r="H107" s="1">
        <f t="shared" si="123"/>
        <v>410440</v>
      </c>
      <c r="I107" s="1">
        <f t="shared" si="45"/>
        <v>447752.72727272729</v>
      </c>
      <c r="J107" s="1">
        <f t="shared" ref="J107" si="124">SUM(J89:J98)</f>
        <v>5250000</v>
      </c>
      <c r="K107" s="1">
        <v>5250000</v>
      </c>
      <c r="L107" s="1">
        <f t="shared" si="123"/>
        <v>5250000.2677165354</v>
      </c>
      <c r="M107" s="1">
        <f t="shared" si="46"/>
        <v>1172.5222311194873</v>
      </c>
      <c r="O107" s="1">
        <f t="shared" ref="O107" si="125">SUM(O89:O98)</f>
        <v>3954000</v>
      </c>
      <c r="P107" s="1">
        <f>SUM(P89:P98)</f>
        <v>2271671</v>
      </c>
      <c r="Q107" s="1">
        <f>SUM(Q89:Q98)</f>
        <v>2271671</v>
      </c>
      <c r="R107" s="1">
        <f>SUM(R89:R98)</f>
        <v>8452968</v>
      </c>
      <c r="S107" s="1">
        <f t="shared" ref="S107:T107" si="126">SUM(S89:S98)</f>
        <v>3954000</v>
      </c>
      <c r="T107" s="1">
        <f t="shared" si="126"/>
        <v>2629871</v>
      </c>
      <c r="U107" s="1">
        <f t="shared" ref="U107:W107" si="127">SUM(U89:U98)</f>
        <v>8292968</v>
      </c>
      <c r="V107" s="1">
        <f t="shared" si="127"/>
        <v>1867843</v>
      </c>
      <c r="W107" s="1">
        <f t="shared" si="127"/>
        <v>4267843</v>
      </c>
      <c r="X107" s="120">
        <f t="shared" si="50"/>
        <v>140.79721903821681</v>
      </c>
      <c r="AA107" s="1">
        <f t="shared" ref="AA107:AR107" si="128">SUM(AA89:AA98)</f>
        <v>1867843</v>
      </c>
      <c r="AB107" s="1">
        <f t="shared" si="128"/>
        <v>1473842</v>
      </c>
      <c r="AC107" s="1">
        <f t="shared" si="128"/>
        <v>1808822</v>
      </c>
      <c r="AD107" s="1">
        <f t="shared" si="128"/>
        <v>1825205</v>
      </c>
      <c r="AE107" s="1">
        <f t="shared" si="128"/>
        <v>97.717259962427249</v>
      </c>
      <c r="AF107" s="1">
        <f t="shared" si="128"/>
        <v>2594843</v>
      </c>
      <c r="AG107" s="1">
        <f t="shared" si="128"/>
        <v>1825205</v>
      </c>
      <c r="AH107" s="1">
        <f t="shared" si="128"/>
        <v>0</v>
      </c>
      <c r="AI107" s="1">
        <f t="shared" si="128"/>
        <v>8708930</v>
      </c>
      <c r="AJ107" s="1">
        <f t="shared" si="128"/>
        <v>0</v>
      </c>
      <c r="AK107" s="1">
        <f t="shared" si="128"/>
        <v>2783930</v>
      </c>
      <c r="AL107" s="1">
        <f t="shared" si="128"/>
        <v>0</v>
      </c>
      <c r="AM107" s="1">
        <f t="shared" si="128"/>
        <v>1825205</v>
      </c>
      <c r="AN107" s="1">
        <f t="shared" si="128"/>
        <v>258446</v>
      </c>
      <c r="AO107" s="1">
        <f t="shared" si="128"/>
        <v>154559</v>
      </c>
      <c r="AP107" s="1">
        <f t="shared" si="128"/>
        <v>995359</v>
      </c>
      <c r="AQ107" s="1">
        <f t="shared" si="128"/>
        <v>258445</v>
      </c>
      <c r="AR107" s="1">
        <f t="shared" si="128"/>
        <v>736914</v>
      </c>
      <c r="AS107" s="259">
        <f t="shared" si="53"/>
        <v>25.965003581622309</v>
      </c>
      <c r="AT107" s="211">
        <f t="shared" ref="AT107:AU107" si="129">SUM(AT89:AT98)</f>
        <v>486537</v>
      </c>
      <c r="AU107" s="211">
        <f t="shared" si="129"/>
        <v>508822</v>
      </c>
      <c r="AV107"/>
      <c r="AW107" s="71">
        <f t="shared" ref="AW107" si="130">SUM(AW89:AW98)</f>
        <v>2783930.17</v>
      </c>
      <c r="AX107" s="71">
        <f t="shared" ref="AX107:AY107" si="131">SUM(AX89:AX98)</f>
        <v>8708930</v>
      </c>
      <c r="AY107" s="71">
        <f t="shared" si="131"/>
        <v>8708930</v>
      </c>
      <c r="AZ107" s="71">
        <f t="shared" ref="AZ107:BE107" si="132">SUM(AZ89:AZ98)</f>
        <v>8708929.75</v>
      </c>
      <c r="BA107" s="71">
        <f t="shared" si="132"/>
        <v>8708929.75</v>
      </c>
      <c r="BB107" s="501">
        <f t="shared" si="132"/>
        <v>8708930</v>
      </c>
      <c r="BC107" s="501">
        <f t="shared" si="132"/>
        <v>8771763</v>
      </c>
      <c r="BD107" s="501">
        <f t="shared" si="132"/>
        <v>340687</v>
      </c>
      <c r="BE107" s="501">
        <f t="shared" si="132"/>
        <v>340687</v>
      </c>
      <c r="BF107" s="221">
        <f t="shared" ref="BF107:BG107" si="133">SUM(BF89:BF98)</f>
        <v>340687</v>
      </c>
      <c r="BG107" s="359">
        <f t="shared" si="133"/>
        <v>408824.4</v>
      </c>
      <c r="BH107" s="366">
        <f t="shared" ref="BH107:BL107" si="134">SUM(BH89:BH98)</f>
        <v>2450000</v>
      </c>
      <c r="BI107" s="359">
        <f t="shared" si="134"/>
        <v>353132</v>
      </c>
      <c r="BJ107" s="359">
        <f t="shared" si="134"/>
        <v>353132</v>
      </c>
      <c r="BK107" s="65">
        <f t="shared" si="134"/>
        <v>353132</v>
      </c>
      <c r="BL107" s="65">
        <f t="shared" si="134"/>
        <v>0</v>
      </c>
      <c r="BM107" s="65">
        <f t="shared" ref="BM107:BQ107" si="135">SUM(BM89:BM98)</f>
        <v>0</v>
      </c>
      <c r="BN107" s="642">
        <f t="shared" ref="BN107" si="136">SUM(BN89:BN98)</f>
        <v>0</v>
      </c>
      <c r="BO107" s="639">
        <f t="shared" si="135"/>
        <v>214597</v>
      </c>
      <c r="BP107" s="639">
        <f t="shared" ref="BP107" si="137">SUM(BP89:BP98)</f>
        <v>0</v>
      </c>
      <c r="BQ107" s="642">
        <f t="shared" si="135"/>
        <v>0</v>
      </c>
      <c r="BR107" s="642">
        <f t="shared" ref="BR107:BS107" si="138">SUM(BR89:BR98)</f>
        <v>3100000</v>
      </c>
      <c r="BS107" s="642">
        <f t="shared" si="138"/>
        <v>3100000</v>
      </c>
      <c r="BT107" s="642">
        <f t="shared" ref="BT107:BV107" si="139">SUM(BT89:BT98)</f>
        <v>3100000</v>
      </c>
      <c r="BU107" s="817">
        <f t="shared" si="139"/>
        <v>4750000</v>
      </c>
      <c r="BV107" s="642">
        <f t="shared" si="139"/>
        <v>6096000</v>
      </c>
    </row>
    <row r="108" spans="1:74" x14ac:dyDescent="0.25">
      <c r="A108" s="289" t="s">
        <v>5</v>
      </c>
      <c r="B108" s="455"/>
      <c r="C108" s="290">
        <f>C103-C104</f>
        <v>487.89999999850988</v>
      </c>
      <c r="D108" s="290">
        <f t="shared" ref="D108:L108" si="140">D103-D104</f>
        <v>-2338753</v>
      </c>
      <c r="E108" s="290">
        <f t="shared" si="140"/>
        <v>-0.49666666984558105</v>
      </c>
      <c r="F108" s="290">
        <f t="shared" si="140"/>
        <v>6084283</v>
      </c>
      <c r="G108" s="290">
        <f t="shared" ref="G108:H108" si="141">G103-G104</f>
        <v>0.31999999284744263</v>
      </c>
      <c r="H108" s="290">
        <f t="shared" si="141"/>
        <v>6685373</v>
      </c>
      <c r="I108" s="290">
        <f t="shared" si="45"/>
        <v>7293134.1818181816</v>
      </c>
      <c r="J108" s="290">
        <f t="shared" ref="J108" si="142">J103-J104</f>
        <v>0</v>
      </c>
      <c r="K108" s="290">
        <v>0</v>
      </c>
      <c r="L108" s="290" t="e">
        <f t="shared" si="140"/>
        <v>#REF!</v>
      </c>
      <c r="M108" s="290" t="e">
        <f t="shared" si="46"/>
        <v>#REF!</v>
      </c>
      <c r="N108" s="291"/>
      <c r="O108" s="290">
        <f t="shared" ref="O108" si="143">O103-O104</f>
        <v>0</v>
      </c>
      <c r="P108" s="290">
        <f>P103-P104</f>
        <v>6203634</v>
      </c>
      <c r="Q108" s="290">
        <f>Q103-Q104</f>
        <v>9971526</v>
      </c>
      <c r="R108" s="290">
        <f>R103-R104</f>
        <v>0</v>
      </c>
      <c r="S108" s="290">
        <f t="shared" ref="S108:T108" si="144">S103-S104</f>
        <v>0</v>
      </c>
      <c r="T108" s="290">
        <f t="shared" si="144"/>
        <v>6631900</v>
      </c>
      <c r="U108" s="290">
        <f t="shared" ref="U108:W108" si="145">U103-U104</f>
        <v>0</v>
      </c>
      <c r="V108" s="290">
        <f t="shared" si="145"/>
        <v>6425125</v>
      </c>
      <c r="W108" s="290">
        <f t="shared" si="145"/>
        <v>0</v>
      </c>
      <c r="X108" s="292"/>
      <c r="Y108" s="291"/>
      <c r="Z108" s="291"/>
      <c r="AA108" s="290">
        <f t="shared" ref="AA108:AR108" si="146">AA103-AA104</f>
        <v>0</v>
      </c>
      <c r="AB108" s="290">
        <f t="shared" si="146"/>
        <v>7388110</v>
      </c>
      <c r="AC108" s="290">
        <f t="shared" si="146"/>
        <v>7388110</v>
      </c>
      <c r="AD108" s="290">
        <f t="shared" si="146"/>
        <v>7509221</v>
      </c>
      <c r="AE108" s="290">
        <f t="shared" si="146"/>
        <v>6631901</v>
      </c>
      <c r="AF108" s="290">
        <f t="shared" si="146"/>
        <v>5178799</v>
      </c>
      <c r="AG108" s="290">
        <f t="shared" si="146"/>
        <v>15591510</v>
      </c>
      <c r="AH108" s="290">
        <f t="shared" si="146"/>
        <v>15302757.345454536</v>
      </c>
      <c r="AI108" s="290">
        <f t="shared" si="146"/>
        <v>0</v>
      </c>
      <c r="AJ108" s="290">
        <f t="shared" si="146"/>
        <v>-2633669</v>
      </c>
      <c r="AK108" s="290">
        <f t="shared" si="146"/>
        <v>0</v>
      </c>
      <c r="AL108" s="290">
        <f t="shared" si="146"/>
        <v>0</v>
      </c>
      <c r="AM108" s="290">
        <f t="shared" si="146"/>
        <v>4168888</v>
      </c>
      <c r="AN108" s="290">
        <f t="shared" si="146"/>
        <v>0</v>
      </c>
      <c r="AO108" s="290">
        <f t="shared" si="146"/>
        <v>-492856</v>
      </c>
      <c r="AP108" s="290">
        <f t="shared" si="146"/>
        <v>-476913</v>
      </c>
      <c r="AQ108" s="290">
        <f t="shared" si="146"/>
        <v>13869876</v>
      </c>
      <c r="AR108" s="290">
        <f t="shared" si="146"/>
        <v>-11549705</v>
      </c>
      <c r="AS108" s="259"/>
      <c r="AT108" s="211">
        <f t="shared" ref="AT108:AU108" si="147">AT103-AT104</f>
        <v>8938248</v>
      </c>
      <c r="AU108" s="211">
        <f t="shared" si="147"/>
        <v>-9394484</v>
      </c>
      <c r="AV108"/>
      <c r="AW108" s="316">
        <f t="shared" ref="AW108:AX108" si="148">AW103-AW104</f>
        <v>0</v>
      </c>
      <c r="AX108" s="316">
        <f t="shared" si="148"/>
        <v>0</v>
      </c>
      <c r="AY108" s="316">
        <f t="shared" ref="AY108:BE108" si="149">AY103-AY104</f>
        <v>0</v>
      </c>
      <c r="AZ108" s="316">
        <f t="shared" si="149"/>
        <v>0</v>
      </c>
      <c r="BA108" s="316">
        <f t="shared" si="149"/>
        <v>2730391</v>
      </c>
      <c r="BB108" s="501">
        <f t="shared" si="149"/>
        <v>106940</v>
      </c>
      <c r="BC108" s="510">
        <f t="shared" si="149"/>
        <v>-100000</v>
      </c>
      <c r="BD108" s="510">
        <f t="shared" si="149"/>
        <v>4149375</v>
      </c>
      <c r="BE108" s="501">
        <f t="shared" si="149"/>
        <v>4814944</v>
      </c>
      <c r="BF108" s="221">
        <f t="shared" ref="BF108:BI108" si="150">BF103-BF104</f>
        <v>4840076</v>
      </c>
      <c r="BG108" s="359">
        <f t="shared" si="150"/>
        <v>12182535.054545477</v>
      </c>
      <c r="BH108" s="366">
        <f t="shared" si="150"/>
        <v>0.35999998450279236</v>
      </c>
      <c r="BI108" s="359">
        <f t="shared" si="150"/>
        <v>0</v>
      </c>
      <c r="BJ108" s="359">
        <f t="shared" ref="BJ108:BL108" si="151">BJ103-BJ104</f>
        <v>10892299</v>
      </c>
      <c r="BK108" s="65">
        <f t="shared" si="151"/>
        <v>15759857</v>
      </c>
      <c r="BL108" s="65">
        <f t="shared" si="151"/>
        <v>0</v>
      </c>
      <c r="BM108" s="65">
        <f t="shared" ref="BM108:BQ108" si="152">BM103-BM104</f>
        <v>-1.000000536441803E-2</v>
      </c>
      <c r="BN108" s="642">
        <f t="shared" ref="BN108" si="153">BN103-BN104</f>
        <v>-1.000000536441803E-2</v>
      </c>
      <c r="BO108" s="639">
        <f t="shared" si="152"/>
        <v>23453818</v>
      </c>
      <c r="BP108" s="639">
        <f t="shared" ref="BP108" si="154">BP103-BP104</f>
        <v>0.40000002086162567</v>
      </c>
      <c r="BQ108" s="642">
        <f t="shared" si="152"/>
        <v>-0.4400000274181366</v>
      </c>
      <c r="BR108" s="642">
        <f t="shared" ref="BR108:BS108" si="155">BR103-BR104</f>
        <v>0</v>
      </c>
      <c r="BS108" s="642">
        <f t="shared" si="155"/>
        <v>0</v>
      </c>
      <c r="BT108" s="642">
        <f>BT103-BT104</f>
        <v>-0.25</v>
      </c>
      <c r="BU108" s="817">
        <f>BU103-BU104</f>
        <v>0</v>
      </c>
      <c r="BV108" s="642">
        <f>BV103-BV104</f>
        <v>0</v>
      </c>
    </row>
    <row r="109" spans="1:74" x14ac:dyDescent="0.25">
      <c r="AE109" s="197"/>
      <c r="AF109" s="14"/>
      <c r="AG109" s="211"/>
      <c r="AH109" s="211"/>
      <c r="AI109" s="211"/>
      <c r="AJ109" s="211"/>
      <c r="AP109" s="71"/>
      <c r="AQ109" s="71"/>
      <c r="AT109" s="211"/>
      <c r="AU109"/>
      <c r="AV109"/>
      <c r="BC109" s="507"/>
      <c r="BD109" s="507"/>
      <c r="BO109" s="644"/>
      <c r="BP109" s="644"/>
      <c r="BQ109"/>
      <c r="BR109" s="14"/>
    </row>
    <row r="110" spans="1:74" x14ac:dyDescent="0.25">
      <c r="W110" s="153" t="s">
        <v>416</v>
      </c>
      <c r="X110" s="154"/>
      <c r="Y110" s="155"/>
      <c r="AB110" s="52"/>
      <c r="AE110" s="197"/>
      <c r="AF110" s="14"/>
      <c r="AG110" s="211"/>
      <c r="AH110" s="211"/>
      <c r="AI110" s="211"/>
      <c r="AJ110" s="211"/>
      <c r="AP110" s="71"/>
      <c r="AQ110" s="71"/>
      <c r="AT110" s="211"/>
      <c r="AU110"/>
      <c r="AV110"/>
      <c r="BC110" s="507"/>
      <c r="BD110" s="507"/>
      <c r="BO110" s="644"/>
      <c r="BP110" s="644"/>
      <c r="BQ110"/>
      <c r="BR110" s="14"/>
    </row>
    <row r="111" spans="1:74" x14ac:dyDescent="0.25">
      <c r="W111" s="155" t="s">
        <v>417</v>
      </c>
      <c r="X111" s="154"/>
      <c r="Y111" s="155"/>
      <c r="AB111" s="52"/>
      <c r="AC111" s="1"/>
      <c r="AD111" s="1"/>
      <c r="AE111" s="197"/>
      <c r="AF111" s="14"/>
      <c r="AG111" s="211"/>
      <c r="AH111" s="211"/>
      <c r="AI111" s="211"/>
      <c r="AJ111" s="211"/>
      <c r="AP111" s="71"/>
      <c r="AQ111" s="71"/>
      <c r="AT111" s="211"/>
      <c r="AU111"/>
      <c r="AV111"/>
      <c r="BC111" s="507"/>
      <c r="BD111" s="507"/>
      <c r="BO111" s="644"/>
      <c r="BP111" s="644"/>
      <c r="BQ111"/>
      <c r="BR111" s="14"/>
    </row>
    <row r="112" spans="1:74" x14ac:dyDescent="0.25">
      <c r="AB112" s="52"/>
      <c r="AG112" s="211"/>
      <c r="AH112" s="211"/>
      <c r="AI112" s="211"/>
      <c r="AJ112" s="211"/>
      <c r="AP112" s="71"/>
      <c r="AQ112" s="71"/>
      <c r="AT112" s="211"/>
      <c r="AU112"/>
      <c r="AV112"/>
      <c r="BC112" s="507"/>
      <c r="BD112" s="507"/>
      <c r="BO112" s="644"/>
      <c r="BP112" s="644"/>
      <c r="BQ112"/>
      <c r="BR112" s="14"/>
    </row>
    <row r="113" spans="33:70" x14ac:dyDescent="0.25">
      <c r="AG113" s="211"/>
      <c r="AH113" s="211"/>
      <c r="AI113" s="211"/>
      <c r="AJ113" s="211"/>
      <c r="AP113" s="71"/>
      <c r="AQ113" s="71"/>
      <c r="AT113" s="211"/>
      <c r="AU113"/>
      <c r="AV113"/>
      <c r="BC113" s="507"/>
      <c r="BD113" s="507"/>
      <c r="BO113" s="644"/>
      <c r="BP113" s="644"/>
      <c r="BQ113"/>
      <c r="BR113" s="14"/>
    </row>
    <row r="114" spans="33:70" x14ac:dyDescent="0.25">
      <c r="AG114" s="211"/>
      <c r="AH114" s="211"/>
      <c r="AI114" s="211"/>
      <c r="AJ114" s="211"/>
      <c r="AP114" s="71"/>
      <c r="AQ114" s="71"/>
      <c r="AT114" s="211"/>
      <c r="AU114"/>
      <c r="AV114"/>
      <c r="BC114" s="507"/>
      <c r="BD114" s="507"/>
      <c r="BO114" s="644"/>
      <c r="BP114" s="644"/>
      <c r="BQ114"/>
      <c r="BR114" s="14"/>
    </row>
    <row r="115" spans="33:70" x14ac:dyDescent="0.25">
      <c r="AG115" s="211"/>
      <c r="AH115" s="211"/>
      <c r="AI115" s="211"/>
      <c r="AJ115" s="211"/>
      <c r="AP115" s="71"/>
      <c r="AQ115" s="71"/>
      <c r="AT115" s="211"/>
      <c r="AU115"/>
      <c r="AV115"/>
      <c r="BC115" s="507"/>
      <c r="BD115" s="507"/>
      <c r="BO115" s="644"/>
      <c r="BP115" s="644"/>
      <c r="BQ115"/>
      <c r="BR115" s="14"/>
    </row>
    <row r="116" spans="33:70" x14ac:dyDescent="0.25">
      <c r="AG116" s="211"/>
      <c r="AH116" s="211"/>
      <c r="AI116" s="211"/>
      <c r="AJ116" s="211"/>
      <c r="AP116" s="71"/>
      <c r="AQ116" s="71"/>
      <c r="AT116" s="211"/>
      <c r="AU116"/>
      <c r="AV116"/>
      <c r="BC116" s="507"/>
      <c r="BD116" s="507"/>
      <c r="BO116" s="644"/>
      <c r="BP116" s="644"/>
      <c r="BQ116"/>
      <c r="BR116" s="14"/>
    </row>
    <row r="117" spans="33:70" x14ac:dyDescent="0.25">
      <c r="AG117" s="211"/>
      <c r="AH117" s="211"/>
      <c r="AI117" s="211"/>
      <c r="AJ117" s="211"/>
      <c r="AP117" s="71"/>
      <c r="AQ117" s="71"/>
      <c r="AT117" s="211"/>
      <c r="AU117"/>
      <c r="AV117"/>
      <c r="BC117" s="507"/>
      <c r="BD117" s="507"/>
      <c r="BO117" s="644"/>
      <c r="BP117" s="644"/>
      <c r="BQ117"/>
      <c r="BR117" s="14"/>
    </row>
    <row r="118" spans="33:70" x14ac:dyDescent="0.25">
      <c r="AG118" s="211"/>
      <c r="AH118" s="211"/>
      <c r="AI118" s="211"/>
      <c r="AJ118" s="211"/>
      <c r="AP118" s="71"/>
      <c r="AQ118" s="71"/>
      <c r="AT118" s="211"/>
      <c r="AU118"/>
      <c r="AV118"/>
      <c r="BC118" s="507"/>
      <c r="BD118" s="507"/>
      <c r="BO118" s="644"/>
      <c r="BP118" s="644"/>
      <c r="BQ118"/>
      <c r="BR118" s="14"/>
    </row>
    <row r="119" spans="33:70" x14ac:dyDescent="0.25">
      <c r="AG119" s="211"/>
      <c r="AH119" s="211"/>
      <c r="AI119" s="211"/>
      <c r="AJ119" s="211"/>
      <c r="AP119" s="71"/>
      <c r="AQ119" s="71"/>
      <c r="AT119" s="211"/>
      <c r="AU119"/>
      <c r="AV119"/>
      <c r="BC119" s="507"/>
      <c r="BD119" s="507"/>
      <c r="BO119" s="644"/>
      <c r="BP119" s="644"/>
      <c r="BQ119"/>
      <c r="BR119" s="14"/>
    </row>
    <row r="120" spans="33:70" x14ac:dyDescent="0.25">
      <c r="AG120" s="211"/>
      <c r="AH120" s="211"/>
      <c r="AI120" s="211"/>
      <c r="AJ120" s="211"/>
      <c r="AP120" s="71"/>
      <c r="AQ120" s="71"/>
      <c r="AT120" s="211"/>
      <c r="AU120"/>
      <c r="AV120"/>
      <c r="BC120" s="507"/>
      <c r="BD120" s="507"/>
      <c r="BO120" s="644"/>
      <c r="BP120" s="644"/>
      <c r="BQ120"/>
      <c r="BR120" s="14"/>
    </row>
    <row r="121" spans="33:70" x14ac:dyDescent="0.25">
      <c r="AG121" s="211"/>
      <c r="AH121" s="211"/>
      <c r="AI121" s="211"/>
      <c r="AJ121" s="211"/>
      <c r="AP121" s="71"/>
      <c r="AQ121" s="71"/>
      <c r="AT121" s="211"/>
      <c r="AU121"/>
      <c r="AV121"/>
      <c r="BC121" s="507"/>
      <c r="BD121" s="507"/>
      <c r="BO121" s="644"/>
      <c r="BP121" s="644"/>
      <c r="BQ121"/>
      <c r="BR121" s="14"/>
    </row>
    <row r="122" spans="33:70" x14ac:dyDescent="0.25">
      <c r="AG122" s="211"/>
      <c r="AH122" s="211"/>
      <c r="AI122" s="211"/>
      <c r="AJ122" s="211"/>
      <c r="AP122" s="71"/>
      <c r="AQ122" s="71"/>
      <c r="AT122" s="211"/>
      <c r="AU122"/>
      <c r="AV122"/>
      <c r="BC122" s="507"/>
      <c r="BD122" s="507"/>
      <c r="BO122" s="644"/>
      <c r="BP122" s="644"/>
      <c r="BQ122"/>
      <c r="BR122" s="14"/>
    </row>
    <row r="123" spans="33:70" x14ac:dyDescent="0.25">
      <c r="AG123" s="211"/>
      <c r="AH123" s="211"/>
      <c r="AI123" s="211"/>
      <c r="AJ123" s="211"/>
      <c r="AP123" s="71"/>
      <c r="AQ123" s="71"/>
      <c r="AT123" s="211"/>
      <c r="AU123"/>
      <c r="AV123"/>
      <c r="BC123" s="507"/>
      <c r="BD123" s="507"/>
      <c r="BO123" s="644"/>
      <c r="BP123" s="644"/>
      <c r="BQ123"/>
      <c r="BR123" s="14"/>
    </row>
    <row r="124" spans="33:70" x14ac:dyDescent="0.25">
      <c r="AG124" s="211"/>
      <c r="AH124" s="211"/>
      <c r="AI124" s="211"/>
      <c r="AJ124" s="211"/>
      <c r="AP124" s="71"/>
      <c r="AQ124" s="71"/>
      <c r="AT124" s="211"/>
      <c r="AU124"/>
      <c r="AV124"/>
      <c r="BC124" s="507"/>
      <c r="BD124" s="507"/>
      <c r="BO124" s="644"/>
      <c r="BP124" s="644"/>
      <c r="BQ124"/>
      <c r="BR124" s="14"/>
    </row>
    <row r="125" spans="33:70" x14ac:dyDescent="0.25">
      <c r="AG125" s="211"/>
      <c r="AH125" s="211"/>
      <c r="AI125" s="211"/>
      <c r="AJ125" s="211"/>
      <c r="AP125" s="71"/>
      <c r="AQ125" s="71"/>
      <c r="AT125" s="211"/>
      <c r="AU125"/>
      <c r="AV125"/>
      <c r="BC125" s="507"/>
      <c r="BD125" s="507"/>
      <c r="BO125" s="644"/>
      <c r="BP125" s="644"/>
      <c r="BQ125"/>
      <c r="BR125" s="14"/>
    </row>
    <row r="126" spans="33:70" x14ac:dyDescent="0.25">
      <c r="AG126" s="211"/>
      <c r="AH126" s="211"/>
      <c r="AI126" s="211"/>
      <c r="AJ126" s="211"/>
      <c r="AP126" s="71"/>
      <c r="AQ126" s="71"/>
      <c r="AT126" s="211"/>
      <c r="AU126"/>
      <c r="AV126"/>
      <c r="BC126" s="507"/>
      <c r="BD126" s="507"/>
      <c r="BO126" s="644"/>
      <c r="BP126" s="644"/>
      <c r="BQ126"/>
      <c r="BR126" s="14"/>
    </row>
    <row r="127" spans="33:70" x14ac:dyDescent="0.25">
      <c r="AG127" s="211"/>
      <c r="AH127" s="211"/>
      <c r="AI127" s="211"/>
      <c r="AJ127" s="211"/>
      <c r="AP127" s="71"/>
      <c r="AQ127" s="71"/>
      <c r="AT127" s="211"/>
      <c r="AU127"/>
      <c r="AV127"/>
      <c r="BC127" s="507"/>
      <c r="BD127" s="507"/>
      <c r="BO127" s="644"/>
      <c r="BP127" s="644"/>
      <c r="BQ127"/>
      <c r="BR127" s="14"/>
    </row>
    <row r="128" spans="33:70" x14ac:dyDescent="0.25">
      <c r="AG128" s="211"/>
      <c r="AH128" s="211"/>
      <c r="AI128" s="211"/>
      <c r="AJ128" s="211"/>
      <c r="AP128" s="71"/>
      <c r="AQ128" s="71"/>
      <c r="AT128" s="211"/>
      <c r="AU128"/>
      <c r="AV128"/>
      <c r="BC128" s="507"/>
      <c r="BD128" s="507"/>
      <c r="BO128" s="644"/>
      <c r="BP128" s="644"/>
      <c r="BQ128"/>
      <c r="BR128" s="14"/>
    </row>
    <row r="129" spans="33:70" x14ac:dyDescent="0.25">
      <c r="AG129" s="211"/>
      <c r="AH129" s="211"/>
      <c r="AI129" s="211"/>
      <c r="AJ129" s="211"/>
      <c r="AP129" s="71"/>
      <c r="AQ129" s="71"/>
      <c r="AT129" s="211"/>
      <c r="AU129"/>
      <c r="AV129"/>
      <c r="BC129" s="507"/>
      <c r="BD129" s="507"/>
      <c r="BO129" s="644"/>
      <c r="BP129" s="644"/>
      <c r="BQ129"/>
      <c r="BR129" s="14"/>
    </row>
    <row r="130" spans="33:70" x14ac:dyDescent="0.25">
      <c r="AG130" s="211"/>
      <c r="AH130" s="211"/>
      <c r="AI130" s="211"/>
      <c r="AJ130" s="211"/>
      <c r="AP130" s="71"/>
      <c r="AQ130" s="71"/>
      <c r="AT130" s="211"/>
      <c r="AU130"/>
      <c r="AV130"/>
      <c r="BC130" s="507"/>
      <c r="BD130" s="507"/>
      <c r="BO130" s="644"/>
      <c r="BP130" s="644"/>
      <c r="BQ130"/>
      <c r="BR130" s="14"/>
    </row>
    <row r="131" spans="33:70" x14ac:dyDescent="0.25">
      <c r="AG131" s="211"/>
      <c r="AH131" s="211"/>
      <c r="AI131" s="218"/>
      <c r="AJ131" s="211"/>
      <c r="AP131" s="71"/>
      <c r="AQ131" s="71"/>
      <c r="AT131" s="211"/>
      <c r="AU131"/>
      <c r="AV131"/>
      <c r="BC131" s="507"/>
      <c r="BD131" s="507"/>
      <c r="BO131" s="644"/>
      <c r="BP131" s="644"/>
      <c r="BQ131"/>
      <c r="BR131" s="14"/>
    </row>
    <row r="132" spans="33:70" x14ac:dyDescent="0.25">
      <c r="AG132" s="211"/>
      <c r="AH132" s="211"/>
      <c r="AI132" s="218"/>
      <c r="AJ132" s="211"/>
      <c r="AP132" s="71"/>
      <c r="AQ132" s="71"/>
      <c r="AT132" s="211"/>
      <c r="AU132"/>
      <c r="AV132"/>
      <c r="BC132" s="507"/>
      <c r="BD132" s="507"/>
      <c r="BO132" s="644"/>
      <c r="BP132" s="644"/>
      <c r="BQ132"/>
      <c r="BR132" s="14"/>
    </row>
    <row r="133" spans="33:70" x14ac:dyDescent="0.25">
      <c r="AG133" s="211"/>
      <c r="AH133" s="211"/>
      <c r="AI133" s="218"/>
      <c r="AJ133" s="211"/>
      <c r="AP133" s="71"/>
      <c r="AQ133" s="71"/>
      <c r="AT133" s="211"/>
      <c r="AU133"/>
      <c r="AV133"/>
      <c r="BC133" s="507"/>
      <c r="BD133" s="507"/>
      <c r="BO133" s="644"/>
      <c r="BP133" s="644"/>
      <c r="BQ133"/>
      <c r="BR133" s="14"/>
    </row>
    <row r="134" spans="33:70" x14ac:dyDescent="0.25">
      <c r="AG134" s="211"/>
      <c r="AH134" s="211"/>
      <c r="AI134" s="218"/>
      <c r="AJ134" s="211"/>
      <c r="AP134" s="71"/>
      <c r="AQ134" s="71"/>
      <c r="AT134" s="211"/>
      <c r="AU134"/>
      <c r="AV134"/>
      <c r="BC134" s="507"/>
      <c r="BD134" s="507"/>
      <c r="BO134" s="644"/>
      <c r="BP134" s="644"/>
      <c r="BQ134"/>
      <c r="BR134" s="14"/>
    </row>
    <row r="135" spans="33:70" x14ac:dyDescent="0.25">
      <c r="AG135" s="211"/>
      <c r="AH135" s="211"/>
      <c r="AI135" s="218"/>
      <c r="AJ135" s="211"/>
      <c r="AP135" s="71"/>
      <c r="AQ135" s="71"/>
      <c r="AT135" s="211"/>
      <c r="AU135"/>
      <c r="AV135"/>
      <c r="BC135" s="507"/>
      <c r="BD135" s="507"/>
      <c r="BO135" s="644"/>
      <c r="BP135" s="644"/>
      <c r="BQ135"/>
      <c r="BR135" s="14"/>
    </row>
    <row r="136" spans="33:70" x14ac:dyDescent="0.25">
      <c r="AG136" s="211"/>
      <c r="AH136" s="211"/>
      <c r="AI136" s="218"/>
      <c r="AJ136" s="211"/>
      <c r="AP136" s="71"/>
      <c r="AQ136" s="71"/>
      <c r="AT136" s="211"/>
      <c r="AU136"/>
      <c r="AV136"/>
      <c r="BC136" s="507"/>
      <c r="BD136" s="507"/>
      <c r="BO136" s="644"/>
      <c r="BP136" s="644"/>
      <c r="BQ136"/>
      <c r="BR136" s="14"/>
    </row>
    <row r="137" spans="33:70" x14ac:dyDescent="0.25">
      <c r="AG137" s="211"/>
      <c r="AH137" s="211"/>
      <c r="AI137" s="218"/>
      <c r="AJ137" s="211"/>
      <c r="AP137" s="71"/>
      <c r="AQ137" s="71"/>
      <c r="AT137" s="211"/>
      <c r="AU137"/>
      <c r="AV137"/>
      <c r="BC137" s="507"/>
      <c r="BD137" s="507"/>
      <c r="BO137" s="644"/>
      <c r="BP137" s="644"/>
      <c r="BQ137"/>
      <c r="BR137" s="14"/>
    </row>
    <row r="138" spans="33:70" x14ac:dyDescent="0.25">
      <c r="AG138" s="211"/>
      <c r="AH138" s="211"/>
      <c r="AI138" s="218"/>
      <c r="AJ138" s="211"/>
      <c r="AP138" s="71"/>
      <c r="AQ138" s="71"/>
      <c r="AT138" s="211"/>
      <c r="AU138"/>
      <c r="AV138"/>
      <c r="BC138" s="507"/>
      <c r="BD138" s="507"/>
      <c r="BO138" s="644"/>
      <c r="BP138" s="644"/>
      <c r="BQ138"/>
      <c r="BR138" s="14"/>
    </row>
    <row r="139" spans="33:70" x14ac:dyDescent="0.25">
      <c r="AG139" s="211"/>
      <c r="AH139" s="211"/>
      <c r="AI139" s="218"/>
      <c r="AJ139" s="211"/>
      <c r="AP139" s="71"/>
      <c r="AQ139" s="71"/>
      <c r="AT139" s="211"/>
      <c r="AU139"/>
      <c r="AV139"/>
      <c r="BC139" s="507"/>
      <c r="BD139" s="507"/>
      <c r="BO139" s="644"/>
      <c r="BP139" s="644"/>
      <c r="BQ139"/>
      <c r="BR139" s="14"/>
    </row>
    <row r="140" spans="33:70" x14ac:dyDescent="0.25">
      <c r="AG140" s="211"/>
      <c r="AH140" s="211"/>
      <c r="AI140" s="218"/>
      <c r="AJ140" s="211"/>
      <c r="AP140" s="71"/>
      <c r="AQ140" s="71"/>
      <c r="AT140" s="211"/>
      <c r="AU140"/>
      <c r="AV140"/>
      <c r="BC140" s="507"/>
      <c r="BD140" s="507"/>
      <c r="BO140" s="644"/>
      <c r="BP140" s="644"/>
      <c r="BQ140"/>
      <c r="BR140" s="14"/>
    </row>
    <row r="141" spans="33:70" x14ac:dyDescent="0.25">
      <c r="AG141" s="211"/>
      <c r="AH141" s="211"/>
      <c r="AI141" s="218"/>
      <c r="AJ141" s="211"/>
      <c r="AP141" s="71"/>
      <c r="AQ141" s="71"/>
      <c r="AT141" s="211"/>
      <c r="AU141"/>
      <c r="AV141"/>
      <c r="BC141" s="507"/>
      <c r="BD141" s="507"/>
      <c r="BO141" s="644"/>
      <c r="BP141" s="644"/>
      <c r="BQ141"/>
      <c r="BR141" s="14"/>
    </row>
    <row r="142" spans="33:70" x14ac:dyDescent="0.25">
      <c r="AG142" s="211"/>
      <c r="AH142" s="211"/>
      <c r="AI142" s="218"/>
      <c r="AJ142" s="211"/>
      <c r="AP142" s="71"/>
      <c r="AQ142" s="71"/>
      <c r="AT142" s="211"/>
      <c r="AU142"/>
      <c r="AV142"/>
      <c r="BC142" s="507"/>
      <c r="BD142" s="507"/>
      <c r="BO142" s="644"/>
      <c r="BP142" s="644"/>
      <c r="BQ142"/>
      <c r="BR142" s="14"/>
    </row>
    <row r="143" spans="33:70" x14ac:dyDescent="0.25">
      <c r="AG143" s="211"/>
      <c r="AH143" s="211"/>
      <c r="AI143" s="218"/>
      <c r="AJ143" s="211"/>
      <c r="AP143" s="71"/>
      <c r="AQ143" s="71"/>
      <c r="AT143" s="211"/>
      <c r="AU143"/>
      <c r="AV143"/>
      <c r="BC143" s="507"/>
      <c r="BD143" s="507"/>
      <c r="BO143" s="644"/>
      <c r="BP143" s="644"/>
      <c r="BQ143"/>
      <c r="BR143" s="14"/>
    </row>
    <row r="144" spans="33:70" x14ac:dyDescent="0.25">
      <c r="AG144" s="211"/>
      <c r="AH144" s="211"/>
      <c r="AI144" s="218"/>
      <c r="AJ144" s="211"/>
      <c r="AP144" s="71"/>
      <c r="AQ144" s="71"/>
      <c r="AT144" s="211"/>
      <c r="AU144"/>
      <c r="AV144"/>
      <c r="BC144" s="507"/>
      <c r="BD144" s="507"/>
      <c r="BO144" s="644"/>
      <c r="BP144" s="644"/>
      <c r="BQ144"/>
      <c r="BR144" s="14"/>
    </row>
    <row r="145" spans="33:70" x14ac:dyDescent="0.25">
      <c r="AG145" s="211"/>
      <c r="AH145" s="211"/>
      <c r="AI145" s="218"/>
      <c r="AJ145" s="211"/>
      <c r="AP145" s="71"/>
      <c r="AQ145" s="71"/>
      <c r="AT145" s="211"/>
      <c r="AU145"/>
      <c r="AV145"/>
      <c r="BC145" s="507"/>
      <c r="BD145" s="507"/>
      <c r="BO145" s="644"/>
      <c r="BP145" s="644"/>
      <c r="BQ145"/>
      <c r="BR145" s="14"/>
    </row>
    <row r="146" spans="33:70" x14ac:dyDescent="0.25">
      <c r="AG146" s="211"/>
      <c r="AH146" s="211"/>
      <c r="AI146" s="218"/>
      <c r="AJ146" s="211"/>
      <c r="AP146" s="71"/>
      <c r="AQ146" s="71"/>
      <c r="AT146" s="211"/>
      <c r="AU146"/>
      <c r="AV146"/>
      <c r="BC146" s="507"/>
      <c r="BD146" s="507"/>
      <c r="BO146" s="644"/>
      <c r="BP146" s="644"/>
      <c r="BQ146"/>
      <c r="BR146" s="14"/>
    </row>
    <row r="147" spans="33:70" x14ac:dyDescent="0.25">
      <c r="AG147" s="211"/>
      <c r="AH147" s="211"/>
      <c r="AI147" s="218"/>
      <c r="AJ147" s="211"/>
      <c r="AP147" s="71"/>
      <c r="AQ147" s="71"/>
      <c r="AT147" s="211"/>
      <c r="AU147"/>
      <c r="AV147"/>
      <c r="BC147" s="507"/>
      <c r="BD147" s="507"/>
      <c r="BO147" s="644"/>
      <c r="BP147" s="644"/>
      <c r="BQ147"/>
      <c r="BR147" s="14"/>
    </row>
    <row r="148" spans="33:70" x14ac:dyDescent="0.25">
      <c r="AG148" s="211"/>
      <c r="AH148" s="211"/>
      <c r="AI148" s="218"/>
      <c r="AJ148" s="211"/>
      <c r="AP148" s="71"/>
      <c r="AQ148" s="71"/>
      <c r="AT148" s="211"/>
      <c r="AU148"/>
      <c r="AV148"/>
      <c r="BC148" s="507"/>
      <c r="BD148" s="507"/>
      <c r="BO148" s="644"/>
      <c r="BP148" s="644"/>
      <c r="BQ148"/>
      <c r="BR148" s="14"/>
    </row>
    <row r="149" spans="33:70" x14ac:dyDescent="0.25">
      <c r="AG149" s="211"/>
      <c r="AH149" s="211"/>
      <c r="AI149" s="218"/>
      <c r="AJ149" s="211"/>
      <c r="AP149" s="71"/>
      <c r="AQ149" s="71"/>
      <c r="AT149" s="211"/>
      <c r="AU149"/>
      <c r="AV149"/>
      <c r="BC149" s="507"/>
      <c r="BD149" s="507"/>
      <c r="BO149" s="644"/>
      <c r="BP149" s="644"/>
      <c r="BQ149"/>
      <c r="BR149" s="14"/>
    </row>
    <row r="150" spans="33:70" x14ac:dyDescent="0.25">
      <c r="AG150" s="211"/>
      <c r="AH150" s="211"/>
      <c r="AI150" s="218"/>
      <c r="AJ150" s="211"/>
      <c r="AP150" s="71"/>
      <c r="AQ150" s="71"/>
      <c r="AT150" s="211"/>
      <c r="AU150"/>
      <c r="AV150"/>
      <c r="BC150" s="507"/>
      <c r="BD150" s="507"/>
      <c r="BO150" s="644"/>
      <c r="BP150" s="644"/>
      <c r="BQ150"/>
      <c r="BR150" s="14"/>
    </row>
    <row r="151" spans="33:70" x14ac:dyDescent="0.25">
      <c r="AG151" s="211"/>
      <c r="AH151" s="211"/>
      <c r="AI151" s="218"/>
      <c r="AJ151" s="211"/>
      <c r="AP151" s="71"/>
      <c r="AQ151" s="71"/>
      <c r="AT151" s="211"/>
      <c r="AU151"/>
      <c r="AV151"/>
      <c r="BC151" s="507"/>
      <c r="BD151" s="507"/>
      <c r="BO151" s="644"/>
      <c r="BP151" s="644"/>
      <c r="BQ151"/>
      <c r="BR151" s="14"/>
    </row>
    <row r="152" spans="33:70" x14ac:dyDescent="0.25">
      <c r="AG152" s="211"/>
      <c r="AH152" s="211"/>
      <c r="AI152" s="218"/>
      <c r="AJ152" s="211"/>
      <c r="AP152" s="71"/>
      <c r="AQ152" s="71"/>
      <c r="AT152" s="211"/>
      <c r="AU152"/>
      <c r="AV152"/>
      <c r="BC152" s="507"/>
      <c r="BD152" s="507"/>
      <c r="BO152" s="644"/>
      <c r="BP152" s="644"/>
      <c r="BQ152"/>
      <c r="BR152" s="14"/>
    </row>
    <row r="153" spans="33:70" x14ac:dyDescent="0.25">
      <c r="AG153" s="211"/>
      <c r="AH153" s="211"/>
      <c r="AI153" s="218"/>
      <c r="AJ153" s="211"/>
      <c r="AP153" s="71"/>
      <c r="AQ153" s="71"/>
      <c r="AT153" s="211"/>
      <c r="AU153"/>
      <c r="AV153"/>
      <c r="BC153" s="507"/>
      <c r="BD153" s="507"/>
      <c r="BO153" s="644"/>
      <c r="BP153" s="644"/>
      <c r="BQ153"/>
      <c r="BR153" s="14"/>
    </row>
    <row r="154" spans="33:70" x14ac:dyDescent="0.25">
      <c r="AG154" s="211"/>
      <c r="AH154" s="211"/>
      <c r="AI154" s="218"/>
      <c r="AJ154" s="211"/>
      <c r="AP154" s="71"/>
      <c r="AQ154" s="71"/>
      <c r="AT154" s="211"/>
      <c r="AU154"/>
      <c r="AV154"/>
      <c r="BC154" s="507"/>
      <c r="BD154" s="507"/>
      <c r="BO154" s="644"/>
      <c r="BP154" s="644"/>
      <c r="BQ154"/>
      <c r="BR154" s="14"/>
    </row>
    <row r="155" spans="33:70" x14ac:dyDescent="0.25">
      <c r="AG155" s="211"/>
      <c r="AH155" s="211"/>
      <c r="AI155" s="218"/>
      <c r="AJ155" s="211"/>
      <c r="AP155" s="71"/>
      <c r="AQ155" s="71"/>
      <c r="AT155" s="211"/>
      <c r="AU155"/>
      <c r="AV155"/>
      <c r="BC155" s="507"/>
      <c r="BD155" s="507"/>
      <c r="BO155" s="644"/>
      <c r="BP155" s="644"/>
      <c r="BQ155"/>
      <c r="BR155" s="14"/>
    </row>
    <row r="156" spans="33:70" x14ac:dyDescent="0.25">
      <c r="AG156" s="211"/>
      <c r="AH156" s="211"/>
      <c r="AI156" s="218"/>
      <c r="AJ156" s="211"/>
      <c r="AP156" s="71"/>
      <c r="AQ156" s="71"/>
      <c r="AT156" s="211"/>
      <c r="AU156"/>
      <c r="AV156"/>
      <c r="BC156" s="507"/>
      <c r="BD156" s="507"/>
      <c r="BO156" s="644"/>
      <c r="BP156" s="644"/>
      <c r="BQ156"/>
      <c r="BR156" s="14"/>
    </row>
    <row r="157" spans="33:70" x14ac:dyDescent="0.25">
      <c r="AG157" s="211"/>
      <c r="AH157" s="211"/>
      <c r="AI157" s="218"/>
      <c r="AJ157" s="211"/>
      <c r="AP157" s="71"/>
      <c r="AQ157" s="71"/>
      <c r="AT157" s="211"/>
      <c r="AU157"/>
      <c r="AV157"/>
      <c r="BC157" s="507"/>
      <c r="BD157" s="507"/>
      <c r="BO157" s="644"/>
      <c r="BP157" s="644"/>
      <c r="BQ157"/>
      <c r="BR157" s="14"/>
    </row>
    <row r="158" spans="33:70" x14ac:dyDescent="0.25">
      <c r="AG158" s="211"/>
      <c r="AH158" s="211"/>
      <c r="AI158" s="218"/>
      <c r="AJ158" s="211"/>
      <c r="AP158" s="71"/>
      <c r="AQ158" s="71"/>
      <c r="AT158" s="211"/>
      <c r="AU158"/>
      <c r="AV158"/>
      <c r="BC158" s="507"/>
      <c r="BD158" s="507"/>
      <c r="BO158" s="644"/>
      <c r="BP158" s="644"/>
      <c r="BQ158"/>
      <c r="BR158" s="14"/>
    </row>
    <row r="159" spans="33:70" x14ac:dyDescent="0.25">
      <c r="AG159" s="211"/>
      <c r="AH159" s="211"/>
      <c r="AI159" s="218"/>
      <c r="AJ159" s="211"/>
      <c r="AP159" s="71"/>
      <c r="AQ159" s="71"/>
      <c r="AT159" s="211"/>
      <c r="AU159"/>
      <c r="AV159"/>
      <c r="BC159" s="507"/>
      <c r="BD159" s="507"/>
      <c r="BO159" s="644"/>
      <c r="BP159" s="644"/>
      <c r="BQ159"/>
      <c r="BR159" s="14"/>
    </row>
    <row r="160" spans="33:70" x14ac:dyDescent="0.25">
      <c r="AG160" s="211"/>
      <c r="AH160" s="211"/>
      <c r="AI160" s="218"/>
      <c r="AJ160" s="211"/>
      <c r="AP160" s="71"/>
      <c r="AQ160" s="71"/>
      <c r="AT160" s="211"/>
      <c r="AU160"/>
      <c r="AV160"/>
      <c r="BC160" s="507"/>
      <c r="BD160" s="507"/>
      <c r="BO160" s="644"/>
      <c r="BP160" s="644"/>
      <c r="BQ160"/>
      <c r="BR160" s="14"/>
    </row>
    <row r="161" spans="33:70" x14ac:dyDescent="0.25">
      <c r="AG161" s="211"/>
      <c r="AH161" s="211"/>
      <c r="AI161" s="218"/>
      <c r="AJ161" s="211"/>
      <c r="AP161" s="71"/>
      <c r="AQ161" s="71"/>
      <c r="AT161" s="211"/>
      <c r="AU161"/>
      <c r="AV161"/>
      <c r="BC161" s="507"/>
      <c r="BD161" s="507"/>
      <c r="BO161" s="644"/>
      <c r="BP161" s="644"/>
      <c r="BQ161"/>
      <c r="BR161" s="14"/>
    </row>
    <row r="162" spans="33:70" x14ac:dyDescent="0.25">
      <c r="AG162" s="211"/>
      <c r="AH162" s="211"/>
      <c r="AI162" s="218"/>
      <c r="AJ162" s="211"/>
      <c r="AP162" s="71"/>
      <c r="AQ162" s="71"/>
      <c r="AT162" s="211"/>
      <c r="AU162"/>
      <c r="AV162"/>
      <c r="BC162" s="507"/>
      <c r="BD162" s="507"/>
      <c r="BO162" s="644"/>
      <c r="BP162" s="644"/>
      <c r="BQ162"/>
      <c r="BR162" s="14"/>
    </row>
    <row r="163" spans="33:70" x14ac:dyDescent="0.25">
      <c r="AG163" s="211"/>
      <c r="AH163" s="211"/>
      <c r="AI163" s="218"/>
      <c r="AJ163" s="211"/>
      <c r="AP163" s="71"/>
      <c r="AQ163" s="71"/>
      <c r="AT163" s="211"/>
      <c r="AU163"/>
      <c r="AV163"/>
      <c r="BC163" s="507"/>
      <c r="BD163" s="507"/>
      <c r="BO163" s="644"/>
      <c r="BP163" s="644"/>
      <c r="BQ163"/>
      <c r="BR163" s="14"/>
    </row>
    <row r="164" spans="33:70" x14ac:dyDescent="0.25">
      <c r="AG164" s="211"/>
      <c r="AH164" s="211"/>
      <c r="AI164" s="218"/>
      <c r="AJ164" s="211"/>
      <c r="AP164" s="71"/>
      <c r="AQ164" s="71"/>
      <c r="AT164" s="211"/>
      <c r="AU164"/>
      <c r="AV164"/>
      <c r="BC164" s="507"/>
      <c r="BD164" s="507"/>
      <c r="BO164" s="644"/>
      <c r="BP164" s="644"/>
      <c r="BQ164"/>
      <c r="BR164" s="14"/>
    </row>
    <row r="165" spans="33:70" x14ac:dyDescent="0.25">
      <c r="AG165" s="211"/>
      <c r="AH165" s="211"/>
      <c r="AI165" s="218"/>
      <c r="AJ165" s="211"/>
      <c r="AP165" s="71"/>
      <c r="AQ165" s="71"/>
      <c r="AT165" s="211"/>
      <c r="AU165"/>
      <c r="AV165"/>
      <c r="BC165" s="507"/>
      <c r="BD165" s="507"/>
      <c r="BO165" s="644"/>
      <c r="BP165" s="644"/>
      <c r="BQ165"/>
      <c r="BR165" s="14"/>
    </row>
    <row r="166" spans="33:70" x14ac:dyDescent="0.25">
      <c r="AG166" s="211"/>
      <c r="AH166" s="211"/>
      <c r="AI166" s="218"/>
      <c r="AJ166" s="211"/>
      <c r="AP166" s="71"/>
      <c r="AQ166" s="71"/>
      <c r="AT166" s="211"/>
      <c r="AU166"/>
      <c r="AV166"/>
      <c r="BC166" s="507"/>
      <c r="BD166" s="507"/>
      <c r="BO166" s="644"/>
      <c r="BP166" s="644"/>
      <c r="BQ166"/>
      <c r="BR166" s="14"/>
    </row>
    <row r="167" spans="33:70" x14ac:dyDescent="0.25">
      <c r="AG167" s="211"/>
      <c r="AH167" s="211"/>
      <c r="AI167" s="218"/>
      <c r="AJ167" s="211"/>
      <c r="AP167" s="71"/>
      <c r="AQ167" s="71"/>
      <c r="AT167" s="211"/>
      <c r="AU167"/>
      <c r="AV167"/>
      <c r="BC167" s="507"/>
      <c r="BD167" s="507"/>
      <c r="BO167" s="644"/>
      <c r="BP167" s="644"/>
      <c r="BQ167"/>
      <c r="BR167" s="14"/>
    </row>
    <row r="168" spans="33:70" x14ac:dyDescent="0.25">
      <c r="AG168" s="211"/>
      <c r="AH168" s="211"/>
      <c r="AI168" s="218"/>
      <c r="AJ168" s="211"/>
      <c r="AP168" s="71"/>
      <c r="AQ168" s="71"/>
      <c r="AT168" s="211"/>
      <c r="AU168"/>
      <c r="AV168"/>
      <c r="BC168" s="507"/>
      <c r="BD168" s="507"/>
      <c r="BO168" s="644"/>
      <c r="BP168" s="644"/>
      <c r="BQ168"/>
      <c r="BR168" s="14"/>
    </row>
    <row r="169" spans="33:70" x14ac:dyDescent="0.25">
      <c r="AG169" s="211"/>
      <c r="AH169" s="211"/>
      <c r="AI169" s="218"/>
      <c r="AJ169" s="211"/>
      <c r="AP169" s="71"/>
      <c r="AQ169" s="71"/>
      <c r="AT169" s="211"/>
      <c r="AU169"/>
      <c r="AV169"/>
      <c r="BC169" s="507"/>
      <c r="BD169" s="507"/>
      <c r="BO169" s="644"/>
      <c r="BP169" s="644"/>
      <c r="BQ169"/>
      <c r="BR169" s="14"/>
    </row>
    <row r="170" spans="33:70" x14ac:dyDescent="0.25">
      <c r="AG170" s="211"/>
      <c r="AH170" s="211"/>
      <c r="AI170" s="218"/>
      <c r="AJ170" s="211"/>
      <c r="AP170" s="71"/>
      <c r="AQ170" s="71"/>
      <c r="AT170" s="211"/>
      <c r="AU170"/>
      <c r="AV170"/>
      <c r="BC170" s="507"/>
      <c r="BD170" s="507"/>
      <c r="BO170" s="644"/>
      <c r="BP170" s="644"/>
      <c r="BQ170"/>
      <c r="BR170" s="14"/>
    </row>
    <row r="171" spans="33:70" x14ac:dyDescent="0.25">
      <c r="AG171" s="211"/>
      <c r="AH171" s="211"/>
      <c r="AI171" s="218"/>
      <c r="AJ171" s="211"/>
      <c r="AP171" s="71"/>
      <c r="AQ171" s="71"/>
      <c r="AT171" s="211"/>
      <c r="AU171"/>
      <c r="AV171"/>
      <c r="BC171" s="507"/>
      <c r="BD171" s="507"/>
      <c r="BO171" s="644"/>
      <c r="BP171" s="644"/>
      <c r="BQ171"/>
      <c r="BR171" s="14"/>
    </row>
    <row r="172" spans="33:70" x14ac:dyDescent="0.25">
      <c r="AG172" s="211"/>
      <c r="AH172" s="211"/>
      <c r="AI172" s="218"/>
      <c r="AJ172" s="211"/>
      <c r="AP172" s="71"/>
      <c r="AQ172" s="71"/>
      <c r="AT172" s="211"/>
      <c r="AU172"/>
      <c r="AV172"/>
      <c r="BC172" s="507"/>
      <c r="BD172" s="507"/>
      <c r="BO172" s="644"/>
      <c r="BP172" s="644"/>
      <c r="BQ172"/>
      <c r="BR172" s="14"/>
    </row>
    <row r="173" spans="33:70" x14ac:dyDescent="0.25">
      <c r="AG173" s="211"/>
      <c r="AH173" s="211"/>
      <c r="AI173" s="218"/>
      <c r="AJ173" s="211"/>
      <c r="AP173" s="71"/>
      <c r="AQ173" s="71"/>
      <c r="AT173" s="211"/>
      <c r="AU173"/>
      <c r="AV173"/>
      <c r="BC173" s="507"/>
      <c r="BD173" s="507"/>
      <c r="BO173" s="644"/>
      <c r="BP173" s="644"/>
      <c r="BQ173"/>
      <c r="BR173" s="14"/>
    </row>
    <row r="174" spans="33:70" x14ac:dyDescent="0.25">
      <c r="AG174" s="211"/>
      <c r="AH174" s="211"/>
      <c r="AI174" s="218"/>
      <c r="AJ174" s="211"/>
      <c r="AP174" s="71"/>
      <c r="AQ174" s="71"/>
      <c r="AT174" s="211"/>
      <c r="AU174"/>
      <c r="AV174"/>
      <c r="BC174" s="507"/>
      <c r="BD174" s="507"/>
      <c r="BO174" s="644"/>
      <c r="BP174" s="644"/>
      <c r="BQ174"/>
      <c r="BR174" s="14"/>
    </row>
    <row r="175" spans="33:70" x14ac:dyDescent="0.25">
      <c r="AG175" s="211"/>
      <c r="AH175" s="211"/>
      <c r="AI175" s="218"/>
      <c r="AJ175" s="211"/>
      <c r="AP175" s="71"/>
      <c r="AQ175" s="71"/>
      <c r="AT175" s="211"/>
      <c r="AU175"/>
      <c r="AV175"/>
      <c r="BC175" s="507"/>
      <c r="BD175" s="507"/>
      <c r="BO175" s="644"/>
      <c r="BP175" s="644"/>
      <c r="BQ175"/>
      <c r="BR175" s="14"/>
    </row>
    <row r="176" spans="33:70" x14ac:dyDescent="0.25">
      <c r="AG176" s="211"/>
      <c r="AH176" s="211"/>
      <c r="AI176" s="218"/>
      <c r="AJ176" s="211"/>
      <c r="AP176" s="71"/>
      <c r="AQ176" s="71"/>
      <c r="AT176" s="211"/>
      <c r="AU176"/>
      <c r="AV176"/>
      <c r="BC176" s="507"/>
      <c r="BD176" s="507"/>
      <c r="BO176" s="644"/>
      <c r="BP176" s="644"/>
      <c r="BQ176"/>
      <c r="BR176" s="14"/>
    </row>
    <row r="177" spans="33:70" x14ac:dyDescent="0.25">
      <c r="AG177" s="211"/>
      <c r="AH177" s="211"/>
      <c r="AI177" s="218"/>
      <c r="AJ177" s="211"/>
      <c r="AP177" s="71"/>
      <c r="AQ177" s="71"/>
      <c r="AT177" s="211"/>
      <c r="AU177"/>
      <c r="AV177"/>
      <c r="BC177" s="507"/>
      <c r="BD177" s="507"/>
      <c r="BO177" s="644"/>
      <c r="BP177" s="644"/>
      <c r="BQ177"/>
      <c r="BR177" s="14"/>
    </row>
    <row r="178" spans="33:70" x14ac:dyDescent="0.25">
      <c r="AG178" s="211"/>
      <c r="AH178" s="211"/>
      <c r="AI178" s="218"/>
      <c r="AJ178" s="211"/>
      <c r="AP178" s="71"/>
      <c r="AQ178" s="71"/>
      <c r="AT178" s="211"/>
      <c r="AU178"/>
      <c r="AV178"/>
      <c r="BC178" s="507"/>
      <c r="BD178" s="507"/>
      <c r="BO178" s="644"/>
      <c r="BP178" s="644"/>
      <c r="BQ178"/>
      <c r="BR178" s="14"/>
    </row>
    <row r="179" spans="33:70" x14ac:dyDescent="0.25">
      <c r="AG179" s="211"/>
      <c r="AH179" s="211"/>
      <c r="AI179" s="218"/>
      <c r="AJ179" s="211"/>
      <c r="AP179" s="71"/>
      <c r="AQ179" s="71"/>
      <c r="AT179" s="211"/>
      <c r="AU179"/>
      <c r="AV179"/>
      <c r="BC179" s="507"/>
      <c r="BD179" s="507"/>
      <c r="BO179" s="644"/>
      <c r="BP179" s="644"/>
      <c r="BQ179"/>
      <c r="BR179" s="14"/>
    </row>
    <row r="180" spans="33:70" x14ac:dyDescent="0.25">
      <c r="AG180" s="211"/>
      <c r="AH180" s="211"/>
      <c r="AI180" s="218"/>
      <c r="AJ180" s="211"/>
      <c r="AP180" s="71"/>
      <c r="AQ180" s="71"/>
      <c r="AT180" s="211"/>
      <c r="AU180"/>
      <c r="AV180"/>
      <c r="BC180" s="502"/>
      <c r="BD180" s="502"/>
      <c r="BO180" s="644"/>
      <c r="BP180" s="644"/>
      <c r="BQ180"/>
      <c r="BR180" s="14"/>
    </row>
    <row r="181" spans="33:70" x14ac:dyDescent="0.25">
      <c r="AG181" s="211"/>
      <c r="AH181" s="211"/>
      <c r="AI181" s="218"/>
      <c r="AJ181" s="211"/>
      <c r="AP181" s="71"/>
      <c r="AQ181" s="71"/>
      <c r="AT181" s="211"/>
      <c r="AU181"/>
      <c r="AV181"/>
      <c r="BO181" s="644"/>
      <c r="BP181" s="644"/>
      <c r="BQ181"/>
      <c r="BR181" s="14"/>
    </row>
    <row r="182" spans="33:70" x14ac:dyDescent="0.25">
      <c r="AG182" s="211"/>
      <c r="AH182" s="211"/>
      <c r="AI182" s="218"/>
      <c r="AJ182" s="211"/>
      <c r="AP182" s="71"/>
      <c r="AQ182" s="71"/>
      <c r="AT182" s="211"/>
      <c r="AU182"/>
      <c r="AV182"/>
      <c r="BO182" s="644"/>
      <c r="BP182" s="644"/>
      <c r="BQ182"/>
      <c r="BR182" s="14"/>
    </row>
    <row r="183" spans="33:70" x14ac:dyDescent="0.25">
      <c r="AG183" s="211"/>
      <c r="AH183" s="211"/>
      <c r="AI183" s="218"/>
      <c r="AJ183" s="211"/>
      <c r="AP183" s="71"/>
      <c r="AQ183" s="71"/>
      <c r="AT183" s="211"/>
      <c r="AU183"/>
      <c r="AV183"/>
      <c r="BO183" s="644"/>
      <c r="BP183" s="644"/>
      <c r="BQ183"/>
      <c r="BR183" s="14"/>
    </row>
    <row r="184" spans="33:70" x14ac:dyDescent="0.25">
      <c r="AG184" s="211"/>
      <c r="AH184" s="211"/>
      <c r="AI184" s="218"/>
      <c r="AJ184" s="211"/>
      <c r="AP184" s="71"/>
      <c r="AQ184" s="71"/>
      <c r="AT184" s="211"/>
      <c r="AU184"/>
      <c r="AV184"/>
      <c r="BO184" s="644"/>
      <c r="BP184" s="644"/>
      <c r="BQ184"/>
      <c r="BR184" s="14"/>
    </row>
    <row r="185" spans="33:70" x14ac:dyDescent="0.25">
      <c r="AG185" s="211"/>
      <c r="AH185" s="211"/>
      <c r="AI185" s="218"/>
      <c r="AJ185" s="211"/>
      <c r="AP185" s="71"/>
      <c r="AQ185" s="71"/>
      <c r="AT185" s="211"/>
      <c r="AU185"/>
      <c r="AV185"/>
      <c r="BO185" s="644"/>
      <c r="BP185" s="644"/>
      <c r="BQ185"/>
      <c r="BR185" s="14"/>
    </row>
    <row r="186" spans="33:70" x14ac:dyDescent="0.25">
      <c r="AG186" s="211"/>
      <c r="AH186" s="211"/>
      <c r="AI186" s="218"/>
      <c r="AJ186" s="211"/>
      <c r="AP186" s="71"/>
      <c r="AQ186" s="71"/>
      <c r="AT186" s="211"/>
      <c r="AU186"/>
      <c r="AV186"/>
      <c r="BO186" s="644"/>
      <c r="BP186" s="644"/>
      <c r="BQ186"/>
      <c r="BR186" s="14"/>
    </row>
    <row r="187" spans="33:70" x14ac:dyDescent="0.25">
      <c r="AG187" s="211"/>
      <c r="AH187" s="211"/>
      <c r="AI187" s="218"/>
      <c r="AJ187" s="211"/>
      <c r="AP187" s="71"/>
      <c r="AQ187" s="71"/>
      <c r="AT187" s="211"/>
      <c r="AU187"/>
      <c r="AV187"/>
      <c r="BO187" s="644"/>
      <c r="BP187" s="644"/>
      <c r="BQ187"/>
      <c r="BR187" s="14"/>
    </row>
    <row r="188" spans="33:70" x14ac:dyDescent="0.25">
      <c r="AG188" s="211"/>
      <c r="AH188" s="211"/>
      <c r="AI188" s="218"/>
      <c r="AJ188" s="211"/>
      <c r="AP188" s="71"/>
      <c r="AQ188" s="71"/>
      <c r="AT188" s="211"/>
      <c r="AU188"/>
      <c r="AV188"/>
      <c r="BO188" s="644"/>
      <c r="BP188" s="644"/>
      <c r="BQ188"/>
      <c r="BR188" s="14"/>
    </row>
    <row r="189" spans="33:70" x14ac:dyDescent="0.25">
      <c r="AG189" s="211"/>
      <c r="AH189" s="211"/>
      <c r="AI189" s="218"/>
      <c r="AJ189" s="211"/>
      <c r="AP189" s="71"/>
      <c r="AQ189" s="71"/>
      <c r="AT189" s="211"/>
      <c r="AU189"/>
      <c r="AV189"/>
      <c r="BO189" s="644"/>
      <c r="BP189" s="644"/>
      <c r="BQ189"/>
      <c r="BR189" s="14"/>
    </row>
    <row r="190" spans="33:70" x14ac:dyDescent="0.25">
      <c r="AG190" s="211"/>
      <c r="AH190" s="211"/>
      <c r="AI190" s="218"/>
      <c r="AJ190" s="211"/>
      <c r="AP190" s="71"/>
      <c r="AQ190" s="71"/>
      <c r="AT190" s="211"/>
      <c r="AU190"/>
      <c r="AV190"/>
      <c r="BO190" s="644"/>
      <c r="BP190" s="644"/>
      <c r="BQ190"/>
      <c r="BR190" s="14"/>
    </row>
    <row r="191" spans="33:70" x14ac:dyDescent="0.25">
      <c r="AG191" s="211"/>
      <c r="AH191" s="211"/>
      <c r="AI191" s="218"/>
      <c r="AJ191" s="211"/>
      <c r="AP191" s="71"/>
      <c r="AQ191" s="71"/>
      <c r="AT191" s="211"/>
      <c r="AU191"/>
      <c r="AV191"/>
      <c r="BO191" s="644"/>
      <c r="BP191" s="644"/>
      <c r="BQ191"/>
      <c r="BR191" s="14"/>
    </row>
    <row r="192" spans="33:70" x14ac:dyDescent="0.25">
      <c r="AG192" s="211"/>
      <c r="AH192" s="211"/>
      <c r="AI192" s="218"/>
      <c r="AJ192" s="211"/>
      <c r="AP192" s="71"/>
      <c r="AQ192" s="71"/>
      <c r="AT192" s="211"/>
      <c r="AU192"/>
      <c r="AV192"/>
      <c r="BO192" s="644"/>
      <c r="BP192" s="644"/>
      <c r="BQ192"/>
      <c r="BR192" s="14"/>
    </row>
    <row r="193" spans="33:70" x14ac:dyDescent="0.25">
      <c r="AG193" s="211"/>
      <c r="AH193" s="211"/>
      <c r="AI193" s="218"/>
      <c r="AJ193" s="211"/>
      <c r="AP193" s="71"/>
      <c r="AQ193" s="71"/>
      <c r="AT193" s="211"/>
      <c r="AU193"/>
      <c r="AV193"/>
      <c r="BO193" s="644"/>
      <c r="BP193" s="644"/>
      <c r="BQ193"/>
      <c r="BR193" s="14"/>
    </row>
    <row r="194" spans="33:70" x14ac:dyDescent="0.25">
      <c r="AG194" s="211"/>
      <c r="AH194" s="211"/>
      <c r="AI194" s="218"/>
      <c r="AJ194" s="211"/>
      <c r="AP194" s="71"/>
      <c r="AQ194" s="71"/>
      <c r="AT194" s="211"/>
      <c r="AU194"/>
      <c r="AV194"/>
      <c r="BO194" s="644"/>
      <c r="BP194" s="644"/>
      <c r="BQ194"/>
      <c r="BR194" s="14"/>
    </row>
    <row r="195" spans="33:70" x14ac:dyDescent="0.25">
      <c r="AG195" s="211"/>
      <c r="AH195" s="211"/>
      <c r="AI195" s="218"/>
      <c r="AJ195" s="211"/>
      <c r="AP195" s="71"/>
      <c r="AQ195" s="71"/>
      <c r="AT195" s="211"/>
      <c r="AU195"/>
      <c r="AV195"/>
      <c r="BO195" s="644"/>
      <c r="BP195" s="644"/>
      <c r="BQ195"/>
      <c r="BR195" s="14"/>
    </row>
    <row r="196" spans="33:70" x14ac:dyDescent="0.25">
      <c r="AG196" s="211"/>
      <c r="AH196" s="211"/>
      <c r="AI196" s="218"/>
      <c r="AJ196" s="211"/>
      <c r="AP196" s="71"/>
      <c r="AQ196" s="71"/>
      <c r="AT196" s="211"/>
      <c r="AU196"/>
      <c r="AV196"/>
      <c r="BO196" s="644"/>
      <c r="BP196" s="644"/>
      <c r="BQ196"/>
      <c r="BR196" s="14"/>
    </row>
    <row r="197" spans="33:70" x14ac:dyDescent="0.25">
      <c r="AG197" s="211"/>
      <c r="AH197" s="211"/>
      <c r="AI197" s="218"/>
      <c r="AJ197" s="211"/>
      <c r="AP197" s="71"/>
      <c r="AQ197" s="71"/>
      <c r="AT197" s="211"/>
      <c r="AU197"/>
      <c r="AV197"/>
      <c r="BO197" s="644"/>
      <c r="BP197" s="644"/>
      <c r="BQ197"/>
      <c r="BR197" s="14"/>
    </row>
    <row r="198" spans="33:70" x14ac:dyDescent="0.25">
      <c r="AG198" s="211"/>
      <c r="AH198" s="211"/>
      <c r="AI198" s="218"/>
      <c r="AJ198" s="211"/>
      <c r="AP198" s="71"/>
      <c r="AQ198" s="71"/>
      <c r="AT198" s="211"/>
      <c r="AU198"/>
      <c r="AV198"/>
      <c r="BO198" s="644"/>
      <c r="BP198" s="644"/>
      <c r="BQ198"/>
      <c r="BR198" s="14"/>
    </row>
    <row r="199" spans="33:70" x14ac:dyDescent="0.25">
      <c r="AG199" s="211"/>
      <c r="AH199" s="211"/>
      <c r="AI199" s="218"/>
      <c r="AJ199" s="211"/>
      <c r="AP199" s="71"/>
      <c r="AQ199" s="71"/>
      <c r="AT199" s="211"/>
      <c r="AU199"/>
      <c r="AV199"/>
      <c r="BO199" s="644"/>
      <c r="BP199" s="644"/>
      <c r="BQ199"/>
      <c r="BR199" s="14"/>
    </row>
    <row r="200" spans="33:70" x14ac:dyDescent="0.25">
      <c r="AG200" s="211"/>
      <c r="AH200" s="211"/>
      <c r="AI200" s="218"/>
      <c r="AJ200" s="211"/>
      <c r="AP200" s="71"/>
      <c r="AQ200" s="71"/>
      <c r="AT200" s="211"/>
      <c r="AU200"/>
      <c r="AV200"/>
      <c r="BO200" s="644"/>
      <c r="BP200" s="644"/>
      <c r="BQ200"/>
      <c r="BR200" s="14"/>
    </row>
    <row r="201" spans="33:70" x14ac:dyDescent="0.25">
      <c r="AG201" s="211"/>
      <c r="AH201" s="211"/>
      <c r="AI201" s="218"/>
      <c r="AJ201" s="211"/>
      <c r="AP201" s="71"/>
      <c r="AQ201" s="71"/>
      <c r="AT201" s="211"/>
      <c r="AU201"/>
      <c r="AV201"/>
      <c r="BO201" s="644"/>
      <c r="BP201" s="644"/>
      <c r="BQ201"/>
      <c r="BR201" s="14"/>
    </row>
    <row r="202" spans="33:70" x14ac:dyDescent="0.25">
      <c r="AG202" s="211"/>
      <c r="AH202" s="211"/>
      <c r="AI202" s="218"/>
      <c r="AJ202" s="211"/>
      <c r="AP202" s="71"/>
      <c r="AQ202" s="71"/>
      <c r="AT202" s="211"/>
      <c r="AU202"/>
      <c r="AV202"/>
      <c r="BO202" s="644"/>
      <c r="BP202" s="644"/>
      <c r="BQ202"/>
      <c r="BR202" s="14"/>
    </row>
    <row r="203" spans="33:70" x14ac:dyDescent="0.25">
      <c r="AG203" s="211"/>
      <c r="AH203" s="211"/>
      <c r="AI203" s="218"/>
      <c r="AJ203" s="211"/>
      <c r="AP203" s="71"/>
      <c r="AQ203" s="71"/>
      <c r="AT203" s="211"/>
      <c r="AU203"/>
      <c r="AV203"/>
      <c r="BO203" s="644"/>
      <c r="BP203" s="644"/>
      <c r="BQ203"/>
      <c r="BR203" s="14"/>
    </row>
    <row r="204" spans="33:70" x14ac:dyDescent="0.25">
      <c r="AG204" s="211"/>
      <c r="AH204" s="211"/>
      <c r="AI204" s="218"/>
      <c r="AJ204" s="211"/>
      <c r="AP204" s="71"/>
      <c r="AQ204" s="71"/>
      <c r="AT204" s="211"/>
      <c r="AU204"/>
      <c r="AV204"/>
      <c r="BO204" s="644"/>
      <c r="BP204" s="644"/>
      <c r="BQ204"/>
      <c r="BR204" s="14"/>
    </row>
    <row r="205" spans="33:70" x14ac:dyDescent="0.25">
      <c r="AG205" s="211"/>
      <c r="AH205" s="211"/>
      <c r="AI205" s="218"/>
      <c r="AJ205" s="211"/>
      <c r="AP205" s="71"/>
      <c r="AQ205" s="71"/>
      <c r="AT205" s="211"/>
      <c r="AU205"/>
      <c r="AV205"/>
      <c r="BO205" s="644"/>
      <c r="BP205" s="644"/>
      <c r="BQ205"/>
      <c r="BR205" s="14"/>
    </row>
    <row r="206" spans="33:70" x14ac:dyDescent="0.25">
      <c r="AG206" s="211"/>
      <c r="AH206" s="211"/>
      <c r="AI206" s="218"/>
      <c r="AJ206" s="211"/>
      <c r="AP206" s="71"/>
      <c r="AQ206" s="71"/>
      <c r="AT206" s="211"/>
      <c r="AU206"/>
      <c r="AV206"/>
      <c r="BO206" s="644"/>
      <c r="BP206" s="644"/>
      <c r="BQ206"/>
      <c r="BR206" s="14"/>
    </row>
    <row r="207" spans="33:70" x14ac:dyDescent="0.25">
      <c r="AG207" s="211"/>
      <c r="AH207" s="211"/>
      <c r="AI207" s="218"/>
      <c r="AJ207" s="211"/>
      <c r="AP207" s="71"/>
      <c r="AQ207" s="71"/>
      <c r="AT207" s="211"/>
      <c r="AU207"/>
      <c r="AV207"/>
      <c r="BO207" s="644"/>
      <c r="BP207" s="644"/>
      <c r="BQ207"/>
      <c r="BR207" s="14"/>
    </row>
    <row r="208" spans="33:70" x14ac:dyDescent="0.25">
      <c r="AG208" s="211"/>
      <c r="AH208" s="211"/>
      <c r="AI208" s="218"/>
      <c r="AJ208" s="211"/>
      <c r="AP208" s="71"/>
      <c r="AQ208" s="71"/>
      <c r="AT208" s="211"/>
      <c r="AU208"/>
      <c r="AV208"/>
      <c r="BO208" s="644"/>
      <c r="BP208" s="644"/>
      <c r="BQ208"/>
      <c r="BR208" s="14"/>
    </row>
    <row r="209" spans="33:70" x14ac:dyDescent="0.25">
      <c r="AG209" s="211"/>
      <c r="AH209" s="211"/>
      <c r="AI209" s="218"/>
      <c r="AJ209" s="211"/>
      <c r="AP209" s="71"/>
      <c r="AQ209" s="71"/>
      <c r="AT209" s="211"/>
      <c r="AU209"/>
      <c r="AV209"/>
      <c r="BO209" s="644"/>
      <c r="BP209" s="644"/>
      <c r="BQ209"/>
      <c r="BR209" s="14"/>
    </row>
    <row r="210" spans="33:70" x14ac:dyDescent="0.25">
      <c r="AG210" s="211"/>
      <c r="AH210" s="211"/>
      <c r="AI210" s="218"/>
      <c r="AJ210" s="211"/>
      <c r="AP210" s="71"/>
      <c r="AQ210" s="71"/>
      <c r="AT210" s="211"/>
      <c r="AU210"/>
      <c r="AV210"/>
      <c r="BO210" s="644"/>
      <c r="BP210" s="644"/>
      <c r="BQ210"/>
      <c r="BR210" s="14"/>
    </row>
    <row r="211" spans="33:70" x14ac:dyDescent="0.25">
      <c r="AG211" s="211"/>
      <c r="AH211" s="211"/>
      <c r="AI211" s="218"/>
      <c r="AJ211" s="211"/>
      <c r="AP211" s="71"/>
      <c r="AQ211" s="71"/>
      <c r="AT211" s="211"/>
      <c r="AU211"/>
      <c r="AV211"/>
      <c r="BO211" s="644"/>
      <c r="BP211" s="644"/>
      <c r="BQ211"/>
      <c r="BR211" s="14"/>
    </row>
    <row r="212" spans="33:70" x14ac:dyDescent="0.25">
      <c r="AG212" s="211"/>
      <c r="AH212" s="211"/>
      <c r="AI212" s="218"/>
      <c r="AJ212" s="211"/>
      <c r="AP212" s="71"/>
      <c r="AQ212" s="71"/>
      <c r="AT212" s="211"/>
      <c r="AU212"/>
      <c r="AV212"/>
      <c r="BO212" s="644"/>
      <c r="BP212" s="644"/>
      <c r="BQ212"/>
      <c r="BR212" s="14"/>
    </row>
    <row r="213" spans="33:70" x14ac:dyDescent="0.25">
      <c r="AG213" s="211"/>
      <c r="AH213" s="211"/>
      <c r="AI213" s="218"/>
      <c r="AJ213" s="211"/>
      <c r="AP213" s="71"/>
      <c r="AQ213" s="71"/>
      <c r="AT213" s="211"/>
      <c r="AU213"/>
      <c r="AV213"/>
      <c r="BO213" s="644"/>
      <c r="BP213" s="644"/>
      <c r="BQ213"/>
      <c r="BR213" s="14"/>
    </row>
    <row r="214" spans="33:70" x14ac:dyDescent="0.25">
      <c r="AG214" s="211"/>
      <c r="AH214" s="211"/>
      <c r="AI214" s="218"/>
      <c r="AJ214" s="211"/>
      <c r="AP214" s="71"/>
      <c r="AQ214" s="71"/>
      <c r="AT214" s="211"/>
      <c r="AU214"/>
      <c r="AV214"/>
      <c r="BO214" s="644"/>
      <c r="BP214" s="644"/>
      <c r="BQ214"/>
      <c r="BR214" s="14"/>
    </row>
    <row r="215" spans="33:70" x14ac:dyDescent="0.25">
      <c r="AG215" s="211"/>
      <c r="AH215" s="211"/>
      <c r="AI215" s="218"/>
      <c r="AJ215" s="211"/>
      <c r="AP215" s="71"/>
      <c r="AQ215" s="71"/>
      <c r="AT215" s="211"/>
      <c r="AU215"/>
      <c r="AV215"/>
      <c r="BO215" s="644"/>
      <c r="BP215" s="644"/>
      <c r="BQ215"/>
      <c r="BR215" s="14"/>
    </row>
    <row r="216" spans="33:70" x14ac:dyDescent="0.25">
      <c r="AG216" s="211"/>
      <c r="AH216" s="211"/>
      <c r="AI216" s="218"/>
      <c r="AJ216" s="211"/>
      <c r="AP216" s="71"/>
      <c r="AQ216" s="71"/>
      <c r="AT216" s="211"/>
      <c r="AU216"/>
      <c r="AV216"/>
      <c r="BO216" s="644"/>
      <c r="BP216" s="644"/>
      <c r="BQ216"/>
      <c r="BR216" s="14"/>
    </row>
    <row r="217" spans="33:70" x14ac:dyDescent="0.25">
      <c r="AG217" s="211"/>
      <c r="AH217" s="211"/>
      <c r="AI217" s="218"/>
      <c r="AJ217" s="211"/>
      <c r="AP217" s="71"/>
      <c r="AQ217" s="71"/>
      <c r="AT217" s="211"/>
      <c r="AU217"/>
      <c r="AV217"/>
      <c r="BO217" s="644"/>
      <c r="BP217" s="644"/>
      <c r="BQ217"/>
      <c r="BR217" s="14"/>
    </row>
    <row r="218" spans="33:70" x14ac:dyDescent="0.25">
      <c r="AG218" s="211"/>
      <c r="AH218" s="211"/>
      <c r="AI218" s="218"/>
      <c r="AJ218" s="211"/>
      <c r="AP218" s="71"/>
      <c r="AQ218" s="71"/>
      <c r="AT218" s="211"/>
      <c r="AU218"/>
      <c r="AV218"/>
      <c r="BO218" s="644"/>
      <c r="BP218" s="644"/>
      <c r="BQ218"/>
      <c r="BR218" s="14"/>
    </row>
    <row r="219" spans="33:70" x14ac:dyDescent="0.25">
      <c r="AG219" s="211"/>
      <c r="AH219" s="211"/>
      <c r="AI219" s="218"/>
      <c r="AJ219" s="211"/>
      <c r="AP219" s="71"/>
      <c r="AQ219" s="71"/>
      <c r="AT219" s="211"/>
      <c r="AU219"/>
      <c r="AV219"/>
      <c r="BO219" s="644"/>
      <c r="BP219" s="644"/>
      <c r="BQ219"/>
      <c r="BR219" s="14"/>
    </row>
    <row r="220" spans="33:70" x14ac:dyDescent="0.25">
      <c r="AG220" s="211"/>
      <c r="AH220" s="211"/>
      <c r="AI220" s="218"/>
      <c r="AJ220" s="211"/>
      <c r="AP220" s="71"/>
      <c r="AQ220" s="71"/>
      <c r="AT220" s="211"/>
      <c r="AU220"/>
      <c r="AV220"/>
      <c r="BO220" s="644"/>
      <c r="BP220" s="644"/>
      <c r="BQ220"/>
      <c r="BR220" s="14"/>
    </row>
    <row r="221" spans="33:70" x14ac:dyDescent="0.25">
      <c r="AG221" s="211"/>
      <c r="AH221" s="211"/>
      <c r="AI221" s="218"/>
      <c r="AJ221" s="211"/>
      <c r="AP221" s="71"/>
      <c r="AQ221" s="71"/>
      <c r="AT221" s="211"/>
      <c r="AU221"/>
      <c r="AV221"/>
      <c r="BO221" s="644"/>
      <c r="BP221" s="644"/>
      <c r="BQ221"/>
      <c r="BR221" s="14"/>
    </row>
    <row r="222" spans="33:70" x14ac:dyDescent="0.25">
      <c r="AG222" s="211"/>
      <c r="AH222" s="211"/>
      <c r="AI222" s="218"/>
      <c r="AJ222" s="211"/>
      <c r="AP222" s="71"/>
      <c r="AQ222" s="71"/>
      <c r="AT222" s="211"/>
      <c r="AU222"/>
      <c r="AV222"/>
      <c r="BO222" s="644"/>
      <c r="BP222" s="644"/>
      <c r="BQ222"/>
      <c r="BR222" s="14"/>
    </row>
    <row r="223" spans="33:70" x14ac:dyDescent="0.25">
      <c r="AG223" s="211"/>
      <c r="AH223" s="211"/>
      <c r="AI223" s="218"/>
      <c r="AJ223" s="211"/>
      <c r="AP223" s="71"/>
      <c r="AQ223" s="71"/>
      <c r="AT223" s="211"/>
      <c r="AU223"/>
      <c r="AV223"/>
      <c r="BO223" s="644"/>
      <c r="BP223" s="644"/>
      <c r="BQ223"/>
      <c r="BR223" s="14"/>
    </row>
    <row r="224" spans="33:70" x14ac:dyDescent="0.25">
      <c r="AG224" s="211"/>
      <c r="AH224" s="211"/>
      <c r="AI224" s="218"/>
      <c r="AJ224" s="211"/>
      <c r="AP224" s="71"/>
      <c r="AQ224" s="71"/>
      <c r="AT224" s="211"/>
      <c r="AU224"/>
      <c r="AV224"/>
      <c r="BO224" s="644"/>
      <c r="BP224" s="644"/>
      <c r="BQ224"/>
      <c r="BR224" s="14"/>
    </row>
    <row r="225" spans="33:70" x14ac:dyDescent="0.25">
      <c r="AG225" s="211"/>
      <c r="AH225" s="211"/>
      <c r="AI225" s="218"/>
      <c r="AJ225" s="211"/>
      <c r="AP225" s="71"/>
      <c r="AQ225" s="71"/>
      <c r="AT225" s="211"/>
      <c r="AU225"/>
      <c r="AV225"/>
      <c r="BO225" s="644"/>
      <c r="BP225" s="644"/>
      <c r="BQ225"/>
      <c r="BR225" s="14"/>
    </row>
    <row r="226" spans="33:70" x14ac:dyDescent="0.25">
      <c r="AG226" s="211"/>
      <c r="AH226" s="211"/>
      <c r="AI226" s="218"/>
      <c r="AJ226" s="211"/>
      <c r="AP226" s="71"/>
      <c r="AQ226" s="71"/>
      <c r="AT226" s="211"/>
      <c r="AU226"/>
      <c r="AV226"/>
      <c r="BO226" s="644"/>
      <c r="BP226" s="644"/>
      <c r="BQ226"/>
      <c r="BR226" s="14"/>
    </row>
    <row r="227" spans="33:70" x14ac:dyDescent="0.25">
      <c r="AG227" s="211"/>
      <c r="AH227" s="211"/>
      <c r="AI227" s="218"/>
      <c r="AJ227" s="211"/>
      <c r="AP227" s="71"/>
      <c r="AQ227" s="71"/>
      <c r="AT227" s="211"/>
      <c r="AU227"/>
      <c r="AV227"/>
      <c r="BO227" s="644"/>
      <c r="BP227" s="644"/>
      <c r="BQ227"/>
      <c r="BR227" s="14"/>
    </row>
    <row r="228" spans="33:70" x14ac:dyDescent="0.25">
      <c r="AG228" s="211"/>
      <c r="AH228" s="211"/>
      <c r="AI228" s="218"/>
      <c r="AJ228" s="211"/>
      <c r="AP228" s="71"/>
      <c r="AQ228" s="71"/>
      <c r="AT228" s="211"/>
      <c r="AU228"/>
      <c r="AV228"/>
      <c r="BO228" s="644"/>
      <c r="BP228" s="644"/>
      <c r="BQ228"/>
      <c r="BR228" s="14"/>
    </row>
    <row r="229" spans="33:70" x14ac:dyDescent="0.25">
      <c r="AG229" s="211"/>
      <c r="AH229" s="211"/>
      <c r="AI229" s="218"/>
      <c r="AJ229" s="211"/>
      <c r="AP229" s="71"/>
      <c r="AQ229" s="71"/>
      <c r="AT229" s="211"/>
      <c r="AU229"/>
      <c r="AV229"/>
      <c r="BO229" s="644"/>
      <c r="BP229" s="644"/>
      <c r="BQ229"/>
      <c r="BR229" s="14"/>
    </row>
    <row r="230" spans="33:70" x14ac:dyDescent="0.25">
      <c r="AG230" s="211"/>
      <c r="AH230" s="211"/>
      <c r="AI230" s="218"/>
      <c r="AJ230" s="211"/>
      <c r="AP230" s="71"/>
      <c r="AQ230" s="71"/>
      <c r="AT230" s="211"/>
      <c r="AU230"/>
      <c r="AV230"/>
      <c r="BO230" s="644"/>
      <c r="BP230" s="644"/>
      <c r="BQ230"/>
      <c r="BR230" s="14"/>
    </row>
    <row r="231" spans="33:70" x14ac:dyDescent="0.25">
      <c r="AG231" s="211"/>
      <c r="AH231" s="211"/>
      <c r="AI231" s="218"/>
      <c r="AJ231" s="211"/>
      <c r="AP231" s="71"/>
      <c r="AQ231" s="71"/>
      <c r="AT231" s="211"/>
      <c r="AU231"/>
      <c r="AV231"/>
      <c r="BO231" s="644"/>
      <c r="BP231" s="644"/>
      <c r="BQ231"/>
      <c r="BR231" s="14"/>
    </row>
    <row r="232" spans="33:70" x14ac:dyDescent="0.25">
      <c r="AG232" s="211"/>
      <c r="AH232" s="211"/>
      <c r="AI232" s="218"/>
      <c r="AJ232" s="211"/>
      <c r="AP232" s="71"/>
      <c r="AQ232" s="71"/>
      <c r="AT232" s="211"/>
      <c r="AU232"/>
      <c r="AV232"/>
      <c r="BO232" s="644"/>
      <c r="BP232" s="644"/>
      <c r="BQ232"/>
      <c r="BR232" s="14"/>
    </row>
    <row r="233" spans="33:70" x14ac:dyDescent="0.25">
      <c r="AG233" s="211"/>
      <c r="AH233" s="211"/>
      <c r="AI233" s="218"/>
      <c r="AJ233" s="211"/>
      <c r="AP233" s="71"/>
      <c r="AQ233" s="71"/>
      <c r="AT233" s="211"/>
      <c r="AU233"/>
      <c r="AV233"/>
      <c r="BO233" s="644"/>
      <c r="BP233" s="644"/>
      <c r="BQ233"/>
      <c r="BR233" s="14"/>
    </row>
    <row r="234" spans="33:70" x14ac:dyDescent="0.25">
      <c r="AG234" s="211"/>
      <c r="AH234" s="211"/>
      <c r="AI234" s="218"/>
      <c r="AJ234" s="211"/>
      <c r="AP234" s="71"/>
      <c r="AQ234" s="71"/>
      <c r="AT234" s="211"/>
      <c r="AU234"/>
      <c r="AV234"/>
      <c r="BO234" s="644"/>
      <c r="BP234" s="644"/>
      <c r="BQ234"/>
      <c r="BR234" s="14"/>
    </row>
    <row r="235" spans="33:70" x14ac:dyDescent="0.25">
      <c r="AG235" s="211"/>
      <c r="AH235" s="211"/>
      <c r="AI235" s="218"/>
      <c r="AJ235" s="211"/>
      <c r="AP235" s="71"/>
      <c r="AQ235" s="71"/>
      <c r="AT235" s="211"/>
      <c r="AU235"/>
      <c r="AV235"/>
      <c r="BO235" s="644"/>
      <c r="BP235" s="644"/>
      <c r="BQ235"/>
      <c r="BR235" s="14"/>
    </row>
    <row r="236" spans="33:70" x14ac:dyDescent="0.25">
      <c r="AG236" s="211"/>
      <c r="AH236" s="211"/>
      <c r="AI236" s="218"/>
      <c r="AJ236" s="211"/>
      <c r="AP236" s="71"/>
      <c r="AQ236" s="71"/>
      <c r="AT236" s="211"/>
      <c r="AU236"/>
      <c r="AV236"/>
      <c r="BO236" s="644"/>
      <c r="BP236" s="644"/>
      <c r="BQ236"/>
      <c r="BR236" s="14"/>
    </row>
    <row r="237" spans="33:70" x14ac:dyDescent="0.25">
      <c r="AG237" s="211"/>
      <c r="AH237" s="211"/>
      <c r="AI237" s="218"/>
      <c r="AJ237" s="211"/>
      <c r="AP237" s="71"/>
      <c r="AQ237" s="71"/>
      <c r="AT237" s="211"/>
      <c r="AU237"/>
      <c r="AV237"/>
      <c r="BO237" s="644"/>
      <c r="BP237" s="644"/>
      <c r="BQ237"/>
      <c r="BR237" s="14"/>
    </row>
    <row r="238" spans="33:70" x14ac:dyDescent="0.25">
      <c r="AG238" s="211"/>
      <c r="AH238" s="211"/>
      <c r="AI238" s="218"/>
      <c r="AJ238" s="211"/>
      <c r="AP238" s="71"/>
      <c r="AQ238" s="71"/>
      <c r="AT238" s="211"/>
      <c r="AU238"/>
      <c r="AV238"/>
      <c r="BO238" s="644"/>
      <c r="BP238" s="644"/>
      <c r="BQ238"/>
      <c r="BR238" s="14"/>
    </row>
    <row r="239" spans="33:70" x14ac:dyDescent="0.25">
      <c r="AG239" s="211"/>
      <c r="AH239" s="211"/>
      <c r="AI239" s="218"/>
      <c r="AJ239" s="211"/>
      <c r="AP239" s="71"/>
      <c r="AQ239" s="71"/>
      <c r="AT239" s="211"/>
      <c r="AU239"/>
      <c r="AV239"/>
      <c r="BO239" s="644"/>
      <c r="BP239" s="644"/>
      <c r="BQ239"/>
      <c r="BR239" s="14"/>
    </row>
    <row r="240" spans="33:70" x14ac:dyDescent="0.25">
      <c r="AG240" s="211"/>
      <c r="AH240" s="211"/>
      <c r="AI240" s="218"/>
      <c r="AJ240" s="211"/>
      <c r="AP240" s="71"/>
      <c r="AQ240" s="71"/>
      <c r="AT240" s="211"/>
      <c r="AU240"/>
      <c r="AV240"/>
      <c r="BO240" s="644"/>
      <c r="BP240" s="644"/>
      <c r="BQ240"/>
      <c r="BR240" s="14"/>
    </row>
    <row r="241" spans="33:70" x14ac:dyDescent="0.25">
      <c r="AG241" s="211"/>
      <c r="AH241" s="211"/>
      <c r="AI241" s="218"/>
      <c r="AJ241" s="211"/>
      <c r="AP241" s="71"/>
      <c r="AQ241" s="71"/>
      <c r="AT241" s="211"/>
      <c r="AU241"/>
      <c r="AV241"/>
      <c r="BO241" s="644"/>
      <c r="BP241" s="644"/>
      <c r="BQ241"/>
      <c r="BR241" s="14"/>
    </row>
    <row r="242" spans="33:70" x14ac:dyDescent="0.25">
      <c r="AG242" s="211"/>
      <c r="AH242" s="211"/>
      <c r="AI242" s="218"/>
      <c r="AJ242" s="211"/>
      <c r="AP242" s="71"/>
      <c r="AQ242" s="71"/>
      <c r="AT242" s="211"/>
      <c r="AU242"/>
      <c r="AV242"/>
      <c r="BO242" s="644"/>
      <c r="BP242" s="644"/>
      <c r="BQ242"/>
      <c r="BR242" s="14"/>
    </row>
    <row r="243" spans="33:70" x14ac:dyDescent="0.25">
      <c r="AG243" s="211"/>
      <c r="AH243" s="211"/>
      <c r="AI243" s="218"/>
      <c r="AJ243" s="211"/>
      <c r="AP243" s="71"/>
      <c r="AQ243" s="71"/>
      <c r="AT243" s="211"/>
      <c r="AU243"/>
      <c r="AV243"/>
      <c r="BO243" s="644"/>
      <c r="BP243" s="644"/>
      <c r="BQ243"/>
      <c r="BR243" s="14"/>
    </row>
    <row r="244" spans="33:70" x14ac:dyDescent="0.25">
      <c r="AG244" s="211"/>
      <c r="AH244" s="211"/>
      <c r="AI244" s="218"/>
      <c r="AJ244" s="211"/>
      <c r="AP244" s="71"/>
      <c r="AQ244" s="71"/>
      <c r="AT244" s="211"/>
      <c r="AU244"/>
      <c r="AV244"/>
      <c r="BO244" s="644"/>
      <c r="BP244" s="644"/>
      <c r="BQ244"/>
      <c r="BR244" s="14"/>
    </row>
    <row r="245" spans="33:70" x14ac:dyDescent="0.25">
      <c r="AG245" s="211"/>
      <c r="AH245" s="211"/>
      <c r="AI245" s="218"/>
      <c r="AJ245" s="211"/>
      <c r="AP245" s="71"/>
      <c r="AQ245" s="71"/>
      <c r="AT245" s="211"/>
      <c r="AU245"/>
      <c r="AV245"/>
      <c r="BO245" s="644"/>
      <c r="BP245" s="644"/>
      <c r="BQ245"/>
      <c r="BR245" s="14"/>
    </row>
    <row r="246" spans="33:70" x14ac:dyDescent="0.25">
      <c r="AG246" s="211"/>
      <c r="AH246" s="211"/>
      <c r="AI246" s="218"/>
      <c r="AJ246" s="211"/>
      <c r="AP246" s="71"/>
      <c r="AQ246" s="71"/>
      <c r="AT246" s="211"/>
      <c r="AU246"/>
      <c r="AV246"/>
      <c r="BO246" s="644"/>
      <c r="BP246" s="644"/>
      <c r="BQ246"/>
      <c r="BR246" s="14"/>
    </row>
    <row r="247" spans="33:70" x14ac:dyDescent="0.25">
      <c r="AG247" s="211"/>
      <c r="AH247" s="211"/>
      <c r="AI247" s="218"/>
      <c r="AJ247" s="211"/>
      <c r="AP247" s="71"/>
      <c r="AQ247" s="71"/>
      <c r="AT247" s="211"/>
      <c r="AU247"/>
      <c r="AV247"/>
      <c r="BO247" s="644"/>
      <c r="BP247" s="644"/>
      <c r="BQ247"/>
      <c r="BR247" s="14"/>
    </row>
    <row r="248" spans="33:70" x14ac:dyDescent="0.25">
      <c r="AG248" s="211"/>
      <c r="AH248" s="211"/>
      <c r="AI248" s="218"/>
      <c r="AJ248" s="211"/>
      <c r="AP248" s="71"/>
      <c r="AQ248" s="71"/>
      <c r="AT248" s="211"/>
      <c r="AU248"/>
      <c r="AV248"/>
      <c r="BO248" s="644"/>
      <c r="BP248" s="644"/>
      <c r="BQ248"/>
      <c r="BR248" s="14"/>
    </row>
    <row r="249" spans="33:70" x14ac:dyDescent="0.25">
      <c r="AG249" s="211"/>
      <c r="AH249" s="211"/>
      <c r="AI249" s="218"/>
      <c r="AJ249" s="211"/>
      <c r="AP249" s="71"/>
      <c r="AQ249" s="71"/>
      <c r="AT249" s="211"/>
      <c r="AU249"/>
      <c r="AV249"/>
      <c r="BO249" s="644"/>
      <c r="BP249" s="644"/>
      <c r="BQ249"/>
      <c r="BR249" s="14"/>
    </row>
    <row r="250" spans="33:70" x14ac:dyDescent="0.25">
      <c r="AG250" s="211"/>
      <c r="AH250" s="211"/>
      <c r="AI250" s="218"/>
      <c r="AJ250" s="211"/>
      <c r="AP250" s="71"/>
      <c r="AQ250" s="71"/>
      <c r="AT250" s="211"/>
      <c r="AU250"/>
      <c r="AV250"/>
      <c r="BO250" s="644"/>
      <c r="BP250" s="644"/>
      <c r="BQ250"/>
      <c r="BR250" s="14"/>
    </row>
    <row r="251" spans="33:70" x14ac:dyDescent="0.25">
      <c r="AG251" s="211"/>
      <c r="AH251" s="211"/>
      <c r="AI251" s="218"/>
      <c r="AJ251" s="211"/>
      <c r="AP251" s="71"/>
      <c r="AQ251" s="71"/>
      <c r="AT251" s="211"/>
      <c r="AU251"/>
      <c r="AV251"/>
      <c r="BO251" s="644"/>
      <c r="BP251" s="644"/>
      <c r="BQ251"/>
      <c r="BR251" s="14"/>
    </row>
    <row r="252" spans="33:70" x14ac:dyDescent="0.25">
      <c r="AG252" s="211"/>
      <c r="AH252" s="211"/>
      <c r="AI252" s="218"/>
      <c r="AJ252" s="211"/>
      <c r="AP252" s="71"/>
      <c r="AQ252" s="71"/>
      <c r="AT252" s="211"/>
      <c r="AU252"/>
      <c r="AV252"/>
      <c r="BO252" s="644"/>
      <c r="BP252" s="644"/>
      <c r="BQ252"/>
      <c r="BR252" s="14"/>
    </row>
    <row r="253" spans="33:70" x14ac:dyDescent="0.25">
      <c r="AG253" s="211"/>
      <c r="AH253" s="211"/>
      <c r="AI253" s="218"/>
      <c r="AJ253" s="211"/>
      <c r="AP253" s="71"/>
      <c r="AQ253" s="71"/>
      <c r="AT253" s="211"/>
      <c r="AU253"/>
      <c r="AV253"/>
      <c r="BO253" s="644"/>
      <c r="BP253" s="644"/>
      <c r="BQ253"/>
      <c r="BR253" s="14"/>
    </row>
    <row r="254" spans="33:70" x14ac:dyDescent="0.25">
      <c r="AG254" s="211"/>
      <c r="AH254" s="211"/>
      <c r="AI254" s="218"/>
      <c r="AJ254" s="211"/>
      <c r="AP254" s="71"/>
      <c r="AQ254" s="71"/>
      <c r="AT254" s="211"/>
      <c r="AU254"/>
      <c r="AV254"/>
      <c r="BO254" s="644"/>
      <c r="BP254" s="644"/>
      <c r="BQ254"/>
      <c r="BR254" s="14"/>
    </row>
    <row r="255" spans="33:70" x14ac:dyDescent="0.25">
      <c r="AG255" s="211"/>
      <c r="AH255" s="211"/>
      <c r="AI255" s="218"/>
      <c r="AJ255" s="211"/>
      <c r="AP255" s="71"/>
      <c r="AQ255" s="71"/>
      <c r="AT255" s="211"/>
      <c r="AU255"/>
      <c r="AV255"/>
      <c r="BO255" s="644"/>
      <c r="BP255" s="644"/>
      <c r="BQ255"/>
      <c r="BR255" s="14"/>
    </row>
    <row r="256" spans="33:70" x14ac:dyDescent="0.25">
      <c r="AG256" s="211"/>
      <c r="AH256" s="211"/>
      <c r="AI256" s="218"/>
      <c r="AJ256" s="211"/>
      <c r="AP256" s="71"/>
      <c r="AQ256" s="71"/>
      <c r="AT256" s="211"/>
      <c r="AU256"/>
      <c r="AV256"/>
      <c r="BO256" s="644"/>
      <c r="BP256" s="644"/>
      <c r="BQ256"/>
      <c r="BR256" s="14"/>
    </row>
    <row r="257" spans="33:70" x14ac:dyDescent="0.25">
      <c r="AG257" s="211"/>
      <c r="AH257" s="211"/>
      <c r="AI257" s="218"/>
      <c r="AJ257" s="211"/>
      <c r="AP257" s="71"/>
      <c r="AQ257" s="71"/>
      <c r="AT257" s="211"/>
      <c r="AU257"/>
      <c r="AV257"/>
      <c r="BO257" s="644"/>
      <c r="BP257" s="644"/>
      <c r="BQ257"/>
      <c r="BR257" s="14"/>
    </row>
    <row r="258" spans="33:70" x14ac:dyDescent="0.25">
      <c r="AG258" s="211"/>
      <c r="AH258" s="211"/>
      <c r="AI258" s="218"/>
      <c r="AJ258" s="211"/>
      <c r="AP258" s="71"/>
      <c r="AQ258" s="71"/>
      <c r="AT258" s="211"/>
      <c r="AU258"/>
      <c r="AV258"/>
      <c r="BO258" s="644"/>
      <c r="BP258" s="644"/>
      <c r="BQ258"/>
      <c r="BR258" s="14"/>
    </row>
    <row r="259" spans="33:70" x14ac:dyDescent="0.25">
      <c r="AG259" s="211"/>
      <c r="AH259" s="211"/>
      <c r="AI259" s="218"/>
      <c r="AJ259" s="211"/>
      <c r="AP259" s="71"/>
      <c r="AQ259" s="71"/>
      <c r="AT259" s="211"/>
      <c r="AU259"/>
      <c r="AV259"/>
      <c r="BO259" s="644"/>
      <c r="BP259" s="644"/>
      <c r="BQ259"/>
      <c r="BR259" s="14"/>
    </row>
    <row r="260" spans="33:70" x14ac:dyDescent="0.25">
      <c r="AG260" s="211"/>
      <c r="AH260" s="211"/>
      <c r="AI260" s="218"/>
      <c r="AJ260" s="211"/>
      <c r="AP260" s="71"/>
      <c r="AQ260" s="71"/>
      <c r="AT260" s="211"/>
      <c r="AU260"/>
      <c r="AV260"/>
      <c r="BO260" s="644"/>
      <c r="BP260" s="644"/>
      <c r="BQ260"/>
      <c r="BR260" s="14"/>
    </row>
    <row r="261" spans="33:70" x14ac:dyDescent="0.25">
      <c r="AG261" s="211"/>
      <c r="AH261" s="211"/>
      <c r="AI261" s="218"/>
      <c r="AJ261" s="211"/>
      <c r="AP261" s="71"/>
      <c r="AQ261" s="71"/>
      <c r="AT261" s="211"/>
      <c r="AU261"/>
      <c r="AV261"/>
      <c r="BO261" s="644"/>
      <c r="BP261" s="644"/>
      <c r="BQ261"/>
      <c r="BR261" s="14"/>
    </row>
    <row r="262" spans="33:70" x14ac:dyDescent="0.25">
      <c r="AG262" s="211"/>
      <c r="AH262" s="211"/>
      <c r="AI262" s="218"/>
      <c r="AJ262" s="211"/>
      <c r="AP262" s="71"/>
      <c r="AQ262" s="71"/>
      <c r="AT262" s="211"/>
      <c r="AU262"/>
      <c r="AV262"/>
      <c r="BO262" s="644"/>
      <c r="BP262" s="644"/>
      <c r="BQ262"/>
      <c r="BR262" s="14"/>
    </row>
    <row r="263" spans="33:70" x14ac:dyDescent="0.25">
      <c r="AG263" s="211"/>
      <c r="AH263" s="211"/>
      <c r="AI263" s="218"/>
      <c r="AJ263" s="211"/>
      <c r="AP263" s="71"/>
      <c r="AQ263" s="71"/>
      <c r="AT263" s="211"/>
      <c r="AU263"/>
      <c r="AV263"/>
      <c r="BO263" s="644"/>
      <c r="BP263" s="644"/>
      <c r="BQ263"/>
      <c r="BR263" s="14"/>
    </row>
    <row r="264" spans="33:70" x14ac:dyDescent="0.25">
      <c r="AG264" s="211"/>
      <c r="AH264" s="211"/>
      <c r="AI264" s="218"/>
      <c r="AJ264" s="211"/>
      <c r="AP264" s="71"/>
      <c r="AQ264" s="71"/>
      <c r="AT264" s="211"/>
      <c r="AU264"/>
      <c r="AV264"/>
      <c r="BO264" s="644"/>
      <c r="BP264" s="644"/>
      <c r="BQ264"/>
      <c r="BR264" s="14"/>
    </row>
    <row r="265" spans="33:70" x14ac:dyDescent="0.25">
      <c r="AG265" s="211"/>
      <c r="AH265" s="211"/>
      <c r="AI265" s="218"/>
      <c r="AJ265" s="211"/>
      <c r="AP265" s="71"/>
      <c r="AQ265" s="71"/>
      <c r="AT265" s="211"/>
      <c r="AU265"/>
      <c r="AV265"/>
      <c r="BO265" s="644"/>
      <c r="BP265" s="644"/>
      <c r="BQ265"/>
      <c r="BR265" s="14"/>
    </row>
    <row r="266" spans="33:70" x14ac:dyDescent="0.25">
      <c r="AG266" s="211"/>
      <c r="AH266" s="211"/>
      <c r="AI266" s="218"/>
      <c r="AJ266" s="211"/>
      <c r="AP266" s="71"/>
      <c r="AQ266" s="71"/>
      <c r="AT266" s="211"/>
      <c r="AU266"/>
      <c r="AV266"/>
      <c r="BO266" s="644"/>
      <c r="BP266" s="644"/>
      <c r="BQ266"/>
      <c r="BR266" s="14"/>
    </row>
    <row r="267" spans="33:70" x14ac:dyDescent="0.25">
      <c r="AG267" s="211"/>
      <c r="AH267" s="211"/>
      <c r="AI267" s="218"/>
      <c r="AJ267" s="211"/>
      <c r="AP267" s="71"/>
      <c r="AQ267" s="71"/>
      <c r="AT267" s="211"/>
      <c r="AU267"/>
      <c r="AV267"/>
      <c r="BO267" s="644"/>
      <c r="BP267" s="644"/>
      <c r="BQ267"/>
      <c r="BR267" s="14"/>
    </row>
    <row r="268" spans="33:70" x14ac:dyDescent="0.25">
      <c r="AG268" s="211"/>
      <c r="AH268" s="211"/>
      <c r="AI268" s="218"/>
      <c r="AJ268" s="211"/>
      <c r="AP268" s="71"/>
      <c r="AQ268" s="71"/>
      <c r="AT268" s="211"/>
      <c r="AU268"/>
      <c r="AV268"/>
      <c r="BO268" s="644"/>
      <c r="BP268" s="644"/>
      <c r="BQ268"/>
      <c r="BR268" s="14"/>
    </row>
    <row r="269" spans="33:70" x14ac:dyDescent="0.25">
      <c r="AG269" s="211"/>
      <c r="AH269" s="211"/>
      <c r="AI269" s="218"/>
      <c r="AJ269" s="211"/>
      <c r="AP269" s="71"/>
      <c r="AQ269" s="71"/>
      <c r="AT269" s="211"/>
      <c r="AU269"/>
      <c r="AV269"/>
      <c r="BO269" s="644"/>
      <c r="BP269" s="644"/>
      <c r="BQ269"/>
      <c r="BR269" s="14"/>
    </row>
    <row r="270" spans="33:70" x14ac:dyDescent="0.25">
      <c r="AG270" s="211"/>
      <c r="AH270" s="211"/>
      <c r="AI270" s="218"/>
      <c r="AJ270" s="211"/>
      <c r="AP270" s="71"/>
      <c r="AQ270" s="71"/>
      <c r="AT270" s="211"/>
      <c r="AU270"/>
      <c r="AV270"/>
      <c r="BO270" s="644"/>
      <c r="BP270" s="644"/>
      <c r="BQ270"/>
      <c r="BR270" s="14"/>
    </row>
    <row r="271" spans="33:70" x14ac:dyDescent="0.25">
      <c r="AG271" s="211"/>
      <c r="AH271" s="211"/>
      <c r="AI271" s="218"/>
      <c r="AJ271" s="211"/>
      <c r="AP271" s="71"/>
      <c r="AQ271" s="71"/>
      <c r="AT271" s="211"/>
      <c r="AU271"/>
      <c r="AV271"/>
      <c r="BO271" s="644"/>
      <c r="BP271" s="644"/>
      <c r="BQ271"/>
      <c r="BR271" s="14"/>
    </row>
    <row r="272" spans="33:70" x14ac:dyDescent="0.25">
      <c r="AG272" s="211"/>
      <c r="AH272" s="211"/>
      <c r="AI272" s="218"/>
      <c r="AJ272" s="211"/>
      <c r="AP272" s="71"/>
      <c r="AQ272" s="71"/>
      <c r="AT272" s="211"/>
      <c r="AU272"/>
      <c r="AV272"/>
      <c r="BO272" s="644"/>
      <c r="BP272" s="644"/>
      <c r="BQ272"/>
      <c r="BR272" s="14"/>
    </row>
    <row r="273" spans="33:70" x14ac:dyDescent="0.25">
      <c r="AG273" s="211"/>
      <c r="AH273" s="211"/>
      <c r="AI273" s="218"/>
      <c r="AJ273" s="211"/>
      <c r="AP273" s="71"/>
      <c r="AQ273" s="71"/>
      <c r="AT273" s="211"/>
      <c r="AU273"/>
      <c r="AV273"/>
      <c r="BO273" s="644"/>
      <c r="BP273" s="644"/>
      <c r="BQ273"/>
      <c r="BR273" s="14"/>
    </row>
    <row r="274" spans="33:70" x14ac:dyDescent="0.25">
      <c r="AG274" s="211"/>
      <c r="AH274" s="211"/>
      <c r="AI274" s="218"/>
      <c r="AJ274" s="211"/>
      <c r="AP274" s="71"/>
      <c r="AQ274" s="71"/>
      <c r="AT274" s="211"/>
      <c r="AU274"/>
      <c r="AV274"/>
      <c r="BO274" s="644"/>
      <c r="BP274" s="644"/>
      <c r="BQ274"/>
      <c r="BR274" s="14"/>
    </row>
    <row r="275" spans="33:70" x14ac:dyDescent="0.25">
      <c r="AG275" s="211"/>
      <c r="AH275" s="211"/>
      <c r="AI275" s="218"/>
      <c r="AJ275" s="211"/>
      <c r="AP275" s="71"/>
      <c r="AQ275" s="71"/>
      <c r="AT275" s="211"/>
      <c r="AU275"/>
      <c r="AV275"/>
      <c r="BO275" s="644"/>
      <c r="BP275" s="644"/>
      <c r="BQ275"/>
      <c r="BR275" s="14"/>
    </row>
    <row r="276" spans="33:70" x14ac:dyDescent="0.25">
      <c r="AG276" s="211"/>
      <c r="AH276" s="211"/>
      <c r="AI276" s="218"/>
      <c r="AJ276" s="211"/>
      <c r="AP276" s="71"/>
      <c r="AQ276" s="71"/>
      <c r="AT276" s="211"/>
      <c r="AU276"/>
      <c r="AV276"/>
      <c r="BO276" s="644"/>
      <c r="BP276" s="644"/>
      <c r="BQ276"/>
      <c r="BR276" s="14"/>
    </row>
    <row r="277" spans="33:70" x14ac:dyDescent="0.25">
      <c r="AG277" s="211"/>
      <c r="AH277" s="211"/>
      <c r="AI277" s="218"/>
      <c r="AJ277" s="211"/>
      <c r="AP277" s="71"/>
      <c r="AQ277" s="71"/>
      <c r="AT277" s="211"/>
      <c r="AU277"/>
      <c r="AV277"/>
      <c r="BO277" s="644"/>
      <c r="BP277" s="644"/>
      <c r="BQ277"/>
      <c r="BR277" s="14"/>
    </row>
    <row r="278" spans="33:70" x14ac:dyDescent="0.25">
      <c r="AG278" s="211"/>
      <c r="AH278" s="211"/>
      <c r="AI278" s="218"/>
      <c r="AJ278" s="211"/>
      <c r="AP278" s="71"/>
      <c r="AQ278" s="71"/>
      <c r="AT278" s="211"/>
      <c r="AU278"/>
      <c r="AV278"/>
      <c r="BO278" s="644"/>
      <c r="BP278" s="644"/>
      <c r="BQ278"/>
      <c r="BR278" s="14"/>
    </row>
    <row r="279" spans="33:70" x14ac:dyDescent="0.25">
      <c r="AG279" s="211"/>
      <c r="AH279" s="211"/>
      <c r="AI279" s="218"/>
      <c r="AJ279" s="211"/>
      <c r="AP279" s="71"/>
      <c r="AQ279" s="71"/>
      <c r="AT279" s="211"/>
      <c r="AU279"/>
      <c r="AV279"/>
      <c r="BO279" s="644"/>
      <c r="BP279" s="644"/>
      <c r="BQ279"/>
      <c r="BR279" s="14"/>
    </row>
    <row r="280" spans="33:70" x14ac:dyDescent="0.25">
      <c r="AG280" s="211"/>
      <c r="AH280" s="211"/>
      <c r="AI280" s="218"/>
      <c r="AJ280" s="211"/>
      <c r="AP280" s="71"/>
      <c r="AQ280" s="71"/>
      <c r="AT280" s="211"/>
      <c r="AU280"/>
      <c r="AV280"/>
      <c r="BO280" s="644"/>
      <c r="BP280" s="644"/>
      <c r="BQ280"/>
      <c r="BR280" s="14"/>
    </row>
    <row r="281" spans="33:70" x14ac:dyDescent="0.25">
      <c r="AG281" s="211"/>
      <c r="AH281" s="211"/>
      <c r="AI281" s="218"/>
      <c r="AJ281" s="211"/>
      <c r="AP281" s="71"/>
      <c r="AQ281" s="71"/>
      <c r="AT281" s="211"/>
      <c r="AU281"/>
      <c r="AV281"/>
      <c r="BO281" s="644"/>
      <c r="BP281" s="644"/>
      <c r="BQ281"/>
      <c r="BR281" s="14"/>
    </row>
    <row r="282" spans="33:70" x14ac:dyDescent="0.25">
      <c r="AG282" s="211"/>
      <c r="AH282" s="211"/>
      <c r="AI282" s="218"/>
      <c r="AJ282" s="211"/>
      <c r="AP282" s="71"/>
      <c r="AQ282" s="71"/>
      <c r="AT282" s="211"/>
      <c r="AU282"/>
      <c r="AV282"/>
      <c r="BO282" s="644"/>
      <c r="BP282" s="644"/>
      <c r="BQ282"/>
      <c r="BR282" s="14"/>
    </row>
    <row r="283" spans="33:70" x14ac:dyDescent="0.25">
      <c r="AG283" s="211"/>
      <c r="AH283" s="211"/>
      <c r="AI283" s="218"/>
      <c r="AJ283" s="211"/>
      <c r="AP283" s="71"/>
      <c r="AQ283" s="71"/>
      <c r="AT283" s="211"/>
      <c r="AU283"/>
      <c r="AV283"/>
      <c r="BO283" s="644"/>
      <c r="BP283" s="644"/>
      <c r="BQ283"/>
      <c r="BR283" s="14"/>
    </row>
    <row r="284" spans="33:70" x14ac:dyDescent="0.25">
      <c r="AG284" s="211"/>
      <c r="AH284" s="211"/>
      <c r="AI284" s="218"/>
      <c r="AJ284" s="211"/>
      <c r="AP284" s="71"/>
      <c r="AQ284" s="71"/>
      <c r="AT284" s="211"/>
      <c r="AU284"/>
      <c r="AV284"/>
      <c r="BO284" s="644"/>
      <c r="BP284" s="644"/>
      <c r="BQ284"/>
      <c r="BR284" s="14"/>
    </row>
    <row r="285" spans="33:70" x14ac:dyDescent="0.25">
      <c r="AG285" s="211"/>
      <c r="AH285" s="211"/>
      <c r="AI285" s="218"/>
      <c r="AJ285" s="211"/>
      <c r="AP285" s="71"/>
      <c r="AQ285" s="71"/>
      <c r="AT285" s="211"/>
      <c r="AU285"/>
      <c r="AV285"/>
      <c r="BO285" s="644"/>
      <c r="BP285" s="644"/>
      <c r="BQ285"/>
      <c r="BR285" s="14"/>
    </row>
    <row r="286" spans="33:70" x14ac:dyDescent="0.25">
      <c r="AG286" s="211"/>
      <c r="AH286" s="211"/>
      <c r="AI286" s="218"/>
      <c r="AJ286" s="211"/>
      <c r="AP286" s="71"/>
      <c r="AQ286" s="71"/>
      <c r="AT286" s="211"/>
      <c r="AU286"/>
      <c r="AV286"/>
      <c r="BO286" s="644"/>
      <c r="BP286" s="644"/>
      <c r="BQ286"/>
      <c r="BR286" s="14"/>
    </row>
    <row r="287" spans="33:70" x14ac:dyDescent="0.25">
      <c r="AG287" s="211"/>
      <c r="AH287" s="211"/>
      <c r="AI287" s="218"/>
      <c r="AJ287" s="211"/>
      <c r="AP287" s="71"/>
      <c r="AQ287" s="71"/>
      <c r="AT287" s="211"/>
      <c r="AU287"/>
      <c r="AV287"/>
      <c r="BO287" s="644"/>
      <c r="BP287" s="644"/>
      <c r="BQ287"/>
      <c r="BR287" s="14"/>
    </row>
    <row r="288" spans="33:70" x14ac:dyDescent="0.25">
      <c r="AG288" s="211"/>
      <c r="AH288" s="211"/>
      <c r="AI288" s="218"/>
      <c r="AJ288" s="211"/>
      <c r="AP288" s="71"/>
      <c r="AQ288" s="71"/>
      <c r="AT288" s="211"/>
      <c r="AU288"/>
      <c r="AV288"/>
      <c r="BO288" s="644"/>
      <c r="BP288" s="644"/>
      <c r="BQ288"/>
      <c r="BR288" s="14"/>
    </row>
    <row r="289" spans="33:70" x14ac:dyDescent="0.25">
      <c r="AG289" s="211"/>
      <c r="AH289" s="211"/>
      <c r="AI289" s="218"/>
      <c r="AJ289" s="211"/>
      <c r="AP289" s="71"/>
      <c r="AQ289" s="71"/>
      <c r="AT289" s="211"/>
      <c r="AU289"/>
      <c r="AV289"/>
      <c r="BO289" s="644"/>
      <c r="BP289" s="644"/>
      <c r="BQ289"/>
      <c r="BR289" s="14"/>
    </row>
    <row r="290" spans="33:70" x14ac:dyDescent="0.25">
      <c r="AG290" s="211"/>
      <c r="AH290" s="211"/>
      <c r="AI290" s="218"/>
      <c r="AJ290" s="211"/>
      <c r="AP290" s="71"/>
      <c r="AQ290" s="71"/>
      <c r="AT290" s="211"/>
      <c r="AU290"/>
      <c r="AV290"/>
      <c r="BO290" s="644"/>
      <c r="BP290" s="644"/>
      <c r="BQ290"/>
      <c r="BR290" s="14"/>
    </row>
    <row r="291" spans="33:70" x14ac:dyDescent="0.25">
      <c r="AG291" s="211"/>
      <c r="AH291" s="211"/>
      <c r="AI291" s="218"/>
      <c r="AJ291" s="211"/>
      <c r="AP291" s="71"/>
      <c r="AQ291" s="71"/>
      <c r="AT291" s="211"/>
      <c r="AU291"/>
      <c r="AV291"/>
      <c r="BO291" s="644"/>
      <c r="BP291" s="644"/>
      <c r="BQ291"/>
      <c r="BR291" s="14"/>
    </row>
    <row r="292" spans="33:70" x14ac:dyDescent="0.25">
      <c r="AG292" s="211"/>
      <c r="AH292" s="211"/>
      <c r="AI292" s="218"/>
      <c r="AJ292" s="211"/>
      <c r="AP292" s="71"/>
      <c r="AQ292" s="71"/>
      <c r="AT292" s="211"/>
      <c r="AU292"/>
      <c r="AV292"/>
      <c r="BO292" s="644"/>
      <c r="BP292" s="644"/>
      <c r="BQ292"/>
      <c r="BR292" s="14"/>
    </row>
    <row r="293" spans="33:70" x14ac:dyDescent="0.25">
      <c r="AG293" s="211"/>
      <c r="AH293" s="211"/>
      <c r="AI293" s="218"/>
      <c r="AJ293" s="211"/>
      <c r="AP293" s="71"/>
      <c r="AQ293" s="71"/>
      <c r="AT293" s="211"/>
      <c r="AU293"/>
      <c r="AV293"/>
      <c r="BO293" s="644"/>
      <c r="BP293" s="644"/>
      <c r="BQ293"/>
      <c r="BR293" s="14"/>
    </row>
    <row r="294" spans="33:70" x14ac:dyDescent="0.25">
      <c r="AG294" s="211"/>
      <c r="AH294" s="211"/>
      <c r="AI294" s="218"/>
      <c r="AJ294" s="211"/>
      <c r="AP294" s="71"/>
      <c r="AQ294" s="71"/>
      <c r="AT294" s="211"/>
      <c r="AU294"/>
      <c r="AV294"/>
      <c r="BO294" s="644"/>
      <c r="BP294" s="644"/>
      <c r="BQ294"/>
      <c r="BR294" s="14"/>
    </row>
    <row r="295" spans="33:70" x14ac:dyDescent="0.25">
      <c r="AG295" s="211"/>
      <c r="AH295" s="211"/>
      <c r="AI295" s="218"/>
      <c r="AJ295" s="211"/>
      <c r="AP295" s="71"/>
      <c r="AQ295" s="71"/>
      <c r="AT295" s="211"/>
      <c r="AU295"/>
      <c r="AV295"/>
      <c r="BO295" s="644"/>
      <c r="BP295" s="644"/>
      <c r="BQ295"/>
      <c r="BR295" s="14"/>
    </row>
    <row r="296" spans="33:70" x14ac:dyDescent="0.25">
      <c r="AG296" s="211"/>
      <c r="AH296" s="211"/>
      <c r="AI296" s="218"/>
      <c r="AJ296" s="211"/>
      <c r="AP296" s="71"/>
      <c r="AQ296" s="71"/>
      <c r="AT296" s="211"/>
      <c r="AU296"/>
      <c r="AV296"/>
      <c r="BO296" s="644"/>
      <c r="BP296" s="644"/>
      <c r="BQ296"/>
      <c r="BR296" s="14"/>
    </row>
    <row r="297" spans="33:70" x14ac:dyDescent="0.25">
      <c r="AG297" s="211"/>
      <c r="AH297" s="211"/>
      <c r="AI297" s="218"/>
      <c r="AJ297" s="211"/>
      <c r="AP297" s="71"/>
      <c r="AQ297" s="71"/>
      <c r="AT297" s="211"/>
      <c r="AU297"/>
      <c r="AV297"/>
      <c r="BO297" s="644"/>
      <c r="BP297" s="644"/>
      <c r="BQ297"/>
      <c r="BR297" s="14"/>
    </row>
    <row r="298" spans="33:70" x14ac:dyDescent="0.25">
      <c r="AG298" s="211"/>
      <c r="AH298" s="211"/>
      <c r="AI298" s="218"/>
      <c r="AJ298" s="211"/>
      <c r="AP298" s="71"/>
      <c r="AQ298" s="71"/>
      <c r="AT298" s="211"/>
      <c r="AU298"/>
      <c r="AV298"/>
      <c r="BO298" s="644"/>
      <c r="BP298" s="644"/>
      <c r="BQ298"/>
      <c r="BR298" s="14"/>
    </row>
    <row r="299" spans="33:70" x14ac:dyDescent="0.25">
      <c r="AG299" s="211"/>
      <c r="AH299" s="211"/>
      <c r="AI299" s="218"/>
      <c r="AJ299" s="211"/>
      <c r="AP299" s="71"/>
      <c r="AQ299" s="71"/>
      <c r="AT299" s="211"/>
      <c r="AU299"/>
      <c r="AV299"/>
      <c r="BO299" s="644"/>
      <c r="BP299" s="644"/>
      <c r="BQ299"/>
      <c r="BR299" s="14"/>
    </row>
    <row r="300" spans="33:70" x14ac:dyDescent="0.25">
      <c r="AG300" s="211"/>
      <c r="AH300" s="211"/>
      <c r="AI300" s="218"/>
      <c r="AJ300" s="211"/>
      <c r="AP300" s="71"/>
      <c r="AQ300" s="71"/>
      <c r="AT300" s="211"/>
      <c r="AU300"/>
      <c r="AV300"/>
      <c r="BO300" s="644"/>
      <c r="BP300" s="644"/>
      <c r="BQ300"/>
      <c r="BR300" s="14"/>
    </row>
    <row r="301" spans="33:70" x14ac:dyDescent="0.25">
      <c r="AG301" s="211"/>
      <c r="AH301" s="211"/>
      <c r="AI301" s="218"/>
      <c r="AJ301" s="211"/>
      <c r="AP301" s="71"/>
      <c r="AQ301" s="71"/>
      <c r="AT301" s="211"/>
      <c r="AU301"/>
      <c r="AV301"/>
      <c r="BO301" s="644"/>
      <c r="BP301" s="644"/>
      <c r="BQ301"/>
      <c r="BR301" s="14"/>
    </row>
    <row r="302" spans="33:70" x14ac:dyDescent="0.25">
      <c r="AG302" s="211"/>
      <c r="AH302" s="211"/>
      <c r="AI302" s="218"/>
      <c r="AJ302" s="211"/>
      <c r="AP302" s="71"/>
      <c r="AQ302" s="71"/>
      <c r="AT302" s="211"/>
      <c r="AU302"/>
      <c r="AV302"/>
      <c r="BO302" s="644"/>
      <c r="BP302" s="644"/>
      <c r="BQ302"/>
      <c r="BR302" s="14"/>
    </row>
    <row r="303" spans="33:70" x14ac:dyDescent="0.25">
      <c r="AG303" s="211"/>
      <c r="AH303" s="211"/>
      <c r="AI303" s="218"/>
      <c r="AJ303" s="211"/>
      <c r="AP303" s="71"/>
      <c r="AQ303" s="71"/>
      <c r="AT303" s="211"/>
      <c r="AU303"/>
      <c r="AV303"/>
      <c r="BO303" s="644"/>
      <c r="BP303" s="644"/>
      <c r="BQ303"/>
      <c r="BR303" s="14"/>
    </row>
    <row r="304" spans="33:70" x14ac:dyDescent="0.25">
      <c r="AG304" s="211"/>
      <c r="AH304" s="211"/>
      <c r="AI304" s="218"/>
      <c r="AJ304" s="211"/>
      <c r="AP304" s="71"/>
      <c r="AQ304" s="71"/>
      <c r="AT304" s="211"/>
      <c r="AU304"/>
      <c r="AV304"/>
      <c r="BO304" s="644"/>
      <c r="BP304" s="644"/>
      <c r="BQ304"/>
      <c r="BR304" s="14"/>
    </row>
    <row r="305" spans="33:70" x14ac:dyDescent="0.25">
      <c r="AG305" s="211"/>
      <c r="AH305" s="211"/>
      <c r="AI305" s="218"/>
      <c r="AJ305" s="211"/>
      <c r="AP305" s="71"/>
      <c r="AQ305" s="71"/>
      <c r="AT305" s="211"/>
      <c r="AU305"/>
      <c r="AV305"/>
      <c r="BO305" s="644"/>
      <c r="BP305" s="644"/>
      <c r="BQ305"/>
      <c r="BR305" s="14"/>
    </row>
    <row r="306" spans="33:70" x14ac:dyDescent="0.25">
      <c r="AG306" s="211"/>
      <c r="AH306" s="211"/>
      <c r="AI306" s="218"/>
      <c r="AJ306" s="211"/>
      <c r="AP306" s="71"/>
      <c r="AQ306" s="71"/>
      <c r="AT306" s="211"/>
      <c r="AU306"/>
      <c r="AV306"/>
      <c r="BO306" s="644"/>
      <c r="BP306" s="644"/>
      <c r="BQ306"/>
      <c r="BR306" s="14"/>
    </row>
    <row r="307" spans="33:70" x14ac:dyDescent="0.25">
      <c r="AG307" s="211"/>
      <c r="AH307" s="211"/>
      <c r="AI307" s="218"/>
      <c r="AJ307" s="211"/>
      <c r="AP307" s="71"/>
      <c r="AQ307" s="71"/>
      <c r="AT307" s="211"/>
      <c r="AU307"/>
      <c r="AV307"/>
      <c r="BO307" s="644"/>
      <c r="BP307" s="644"/>
      <c r="BQ307"/>
      <c r="BR307" s="14"/>
    </row>
    <row r="308" spans="33:70" x14ac:dyDescent="0.25">
      <c r="AG308" s="211"/>
      <c r="AH308" s="211"/>
      <c r="AI308" s="218"/>
      <c r="AJ308" s="211"/>
      <c r="AP308" s="71"/>
      <c r="AQ308" s="71"/>
      <c r="AT308" s="211"/>
      <c r="AU308"/>
      <c r="AV308"/>
      <c r="BO308" s="644"/>
      <c r="BP308" s="644"/>
      <c r="BQ308"/>
      <c r="BR308" s="14"/>
    </row>
    <row r="309" spans="33:70" x14ac:dyDescent="0.25">
      <c r="AG309" s="211"/>
      <c r="AH309" s="211"/>
      <c r="AI309" s="218"/>
      <c r="AJ309" s="211"/>
      <c r="AP309" s="71"/>
      <c r="AQ309" s="71"/>
      <c r="AT309" s="211"/>
      <c r="AU309"/>
      <c r="AV309"/>
      <c r="BO309" s="644"/>
      <c r="BP309" s="644"/>
      <c r="BQ309"/>
      <c r="BR309" s="14"/>
    </row>
    <row r="310" spans="33:70" x14ac:dyDescent="0.25">
      <c r="AG310" s="211"/>
      <c r="AH310" s="211"/>
      <c r="AI310" s="218"/>
      <c r="AJ310" s="211"/>
      <c r="AP310" s="71"/>
      <c r="AQ310" s="71"/>
      <c r="AT310" s="211"/>
      <c r="AU310"/>
      <c r="AV310"/>
      <c r="BO310" s="644"/>
      <c r="BP310" s="644"/>
      <c r="BQ310"/>
      <c r="BR310" s="14"/>
    </row>
    <row r="311" spans="33:70" x14ac:dyDescent="0.25">
      <c r="AG311" s="211"/>
      <c r="AH311" s="211"/>
      <c r="AI311" s="218"/>
      <c r="AJ311" s="211"/>
      <c r="AP311" s="71"/>
      <c r="AQ311" s="71"/>
      <c r="AT311" s="211"/>
      <c r="AU311"/>
      <c r="AV311"/>
      <c r="BO311" s="644"/>
      <c r="BP311" s="644"/>
      <c r="BQ311"/>
      <c r="BR311" s="14"/>
    </row>
    <row r="312" spans="33:70" x14ac:dyDescent="0.25">
      <c r="AG312" s="211"/>
      <c r="AH312" s="211"/>
      <c r="AI312" s="218"/>
      <c r="AJ312" s="211"/>
      <c r="AP312" s="71"/>
      <c r="AQ312" s="71"/>
      <c r="AT312" s="211"/>
      <c r="AU312"/>
      <c r="AV312"/>
      <c r="BO312" s="644"/>
      <c r="BP312" s="644"/>
      <c r="BQ312"/>
      <c r="BR312" s="14"/>
    </row>
    <row r="313" spans="33:70" x14ac:dyDescent="0.25">
      <c r="AG313" s="211"/>
      <c r="AH313" s="211"/>
      <c r="AI313" s="218"/>
      <c r="AJ313" s="211"/>
      <c r="AP313" s="71"/>
      <c r="AQ313" s="71"/>
      <c r="AT313" s="211"/>
      <c r="AU313"/>
      <c r="AV313"/>
      <c r="BO313" s="644"/>
      <c r="BP313" s="644"/>
      <c r="BQ313"/>
      <c r="BR313" s="14"/>
    </row>
    <row r="314" spans="33:70" x14ac:dyDescent="0.25">
      <c r="AG314" s="211"/>
      <c r="AH314" s="211"/>
      <c r="AI314" s="218"/>
      <c r="AJ314" s="211"/>
      <c r="AP314" s="71"/>
      <c r="AQ314" s="71"/>
      <c r="AT314" s="211"/>
      <c r="AU314"/>
      <c r="AV314"/>
      <c r="BO314" s="644"/>
      <c r="BP314" s="644"/>
      <c r="BQ314"/>
      <c r="BR314" s="14"/>
    </row>
    <row r="315" spans="33:70" x14ac:dyDescent="0.25">
      <c r="AG315" s="211"/>
      <c r="AH315" s="211"/>
      <c r="AI315" s="218"/>
      <c r="AJ315" s="211"/>
      <c r="AP315" s="71"/>
      <c r="AQ315" s="71"/>
      <c r="AT315" s="211"/>
      <c r="AU315"/>
      <c r="AV315"/>
      <c r="BO315" s="644"/>
      <c r="BP315" s="644"/>
      <c r="BQ315"/>
      <c r="BR315" s="14"/>
    </row>
    <row r="316" spans="33:70" x14ac:dyDescent="0.25">
      <c r="AG316" s="211"/>
      <c r="AH316" s="211"/>
      <c r="AI316" s="218"/>
      <c r="AJ316" s="211"/>
      <c r="AP316" s="71"/>
      <c r="AQ316" s="71"/>
      <c r="AT316" s="211"/>
      <c r="AU316"/>
      <c r="AV316"/>
      <c r="BO316" s="644"/>
      <c r="BP316" s="644"/>
      <c r="BQ316"/>
      <c r="BR316" s="14"/>
    </row>
    <row r="317" spans="33:70" x14ac:dyDescent="0.25">
      <c r="AG317" s="211"/>
      <c r="AH317" s="211"/>
      <c r="AI317" s="218"/>
      <c r="AJ317" s="211"/>
      <c r="AP317" s="71"/>
      <c r="AQ317" s="71"/>
      <c r="AT317" s="211"/>
      <c r="AU317"/>
      <c r="AV317"/>
      <c r="BO317" s="644"/>
      <c r="BP317" s="644"/>
      <c r="BQ317"/>
      <c r="BR317" s="14"/>
    </row>
    <row r="318" spans="33:70" x14ac:dyDescent="0.25">
      <c r="AG318" s="211"/>
      <c r="AH318" s="211"/>
      <c r="AI318" s="218"/>
      <c r="AJ318" s="211"/>
      <c r="AP318" s="71"/>
      <c r="AQ318" s="71"/>
      <c r="AT318" s="211"/>
      <c r="AU318"/>
      <c r="AV318"/>
      <c r="BO318" s="644"/>
      <c r="BP318" s="644"/>
      <c r="BQ318"/>
      <c r="BR318" s="14"/>
    </row>
    <row r="319" spans="33:70" x14ac:dyDescent="0.25">
      <c r="AG319" s="211"/>
      <c r="AH319" s="211"/>
      <c r="AI319" s="218"/>
      <c r="AJ319" s="211"/>
      <c r="AP319" s="71"/>
      <c r="AQ319" s="71"/>
      <c r="AT319" s="211"/>
      <c r="AU319"/>
      <c r="AV319"/>
      <c r="BO319" s="644"/>
      <c r="BP319" s="644"/>
      <c r="BQ319"/>
      <c r="BR319" s="14"/>
    </row>
    <row r="320" spans="33:70" x14ac:dyDescent="0.25">
      <c r="AG320" s="211"/>
      <c r="AH320" s="211"/>
      <c r="AI320" s="218"/>
      <c r="AJ320" s="211"/>
      <c r="AP320" s="71"/>
      <c r="AQ320" s="71"/>
      <c r="AT320" s="211"/>
      <c r="AU320"/>
      <c r="AV320"/>
      <c r="BO320" s="644"/>
      <c r="BP320" s="644"/>
      <c r="BQ320"/>
      <c r="BR320" s="14"/>
    </row>
    <row r="321" spans="33:70" x14ac:dyDescent="0.25">
      <c r="AG321" s="211"/>
      <c r="AH321" s="211"/>
      <c r="AI321" s="218"/>
      <c r="AJ321" s="211"/>
      <c r="AP321" s="71"/>
      <c r="AQ321" s="71"/>
      <c r="AT321" s="211"/>
      <c r="AU321"/>
      <c r="AV321"/>
      <c r="BO321" s="644"/>
      <c r="BP321" s="644"/>
      <c r="BQ321"/>
      <c r="BR321" s="14"/>
    </row>
    <row r="322" spans="33:70" x14ac:dyDescent="0.25">
      <c r="AG322" s="211"/>
      <c r="AH322" s="211"/>
      <c r="AI322" s="218"/>
      <c r="AJ322" s="211"/>
      <c r="AP322" s="71"/>
      <c r="AQ322" s="71"/>
      <c r="AT322" s="211"/>
      <c r="AU322"/>
      <c r="AV322"/>
      <c r="BO322" s="644"/>
      <c r="BP322" s="644"/>
      <c r="BQ322"/>
      <c r="BR322" s="14"/>
    </row>
    <row r="323" spans="33:70" x14ac:dyDescent="0.25">
      <c r="AG323" s="211"/>
      <c r="AH323" s="211"/>
      <c r="AI323" s="218"/>
      <c r="AJ323" s="211"/>
      <c r="AP323" s="71"/>
      <c r="AQ323" s="71"/>
      <c r="AT323" s="211"/>
      <c r="AU323"/>
      <c r="AV323"/>
      <c r="BO323" s="644"/>
      <c r="BP323" s="644"/>
      <c r="BQ323"/>
      <c r="BR323" s="14"/>
    </row>
    <row r="324" spans="33:70" x14ac:dyDescent="0.25">
      <c r="AG324" s="211"/>
      <c r="AH324" s="211"/>
      <c r="AI324" s="218"/>
      <c r="AJ324" s="211"/>
      <c r="AP324" s="71"/>
      <c r="AQ324" s="71"/>
      <c r="AT324" s="211"/>
      <c r="AU324"/>
      <c r="AV324"/>
      <c r="BO324" s="644"/>
      <c r="BP324" s="644"/>
      <c r="BQ324"/>
      <c r="BR324" s="14"/>
    </row>
    <row r="325" spans="33:70" x14ac:dyDescent="0.25">
      <c r="AG325" s="211"/>
      <c r="AH325" s="211"/>
      <c r="AI325" s="218"/>
      <c r="AJ325" s="211"/>
      <c r="AP325" s="71"/>
      <c r="AQ325" s="71"/>
      <c r="AT325" s="211"/>
      <c r="AU325"/>
      <c r="AV325"/>
      <c r="BO325" s="644"/>
      <c r="BP325" s="644"/>
      <c r="BQ325"/>
      <c r="BR325" s="14"/>
    </row>
    <row r="326" spans="33:70" x14ac:dyDescent="0.25">
      <c r="AG326" s="211"/>
      <c r="AH326" s="211"/>
      <c r="AI326" s="218"/>
      <c r="AJ326" s="211"/>
      <c r="AP326" s="71"/>
      <c r="AQ326" s="71"/>
      <c r="AT326" s="211"/>
      <c r="AU326"/>
      <c r="AV326"/>
      <c r="BO326" s="644"/>
      <c r="BP326" s="644"/>
      <c r="BQ326"/>
      <c r="BR326" s="14"/>
    </row>
    <row r="327" spans="33:70" x14ac:dyDescent="0.25">
      <c r="AG327" s="211"/>
      <c r="AH327" s="211"/>
      <c r="AI327" s="218"/>
      <c r="AJ327" s="211"/>
      <c r="AP327" s="71"/>
      <c r="AQ327" s="71"/>
      <c r="AT327" s="211"/>
      <c r="AU327"/>
      <c r="AV327"/>
      <c r="BO327" s="644"/>
      <c r="BP327" s="644"/>
      <c r="BQ327"/>
      <c r="BR327" s="14"/>
    </row>
    <row r="328" spans="33:70" x14ac:dyDescent="0.25">
      <c r="AG328" s="211"/>
      <c r="AH328" s="211"/>
      <c r="AI328" s="218"/>
      <c r="AJ328" s="211"/>
      <c r="AP328" s="71"/>
      <c r="AQ328" s="71"/>
      <c r="AT328" s="211"/>
      <c r="AU328"/>
      <c r="AV328"/>
      <c r="BO328" s="644"/>
      <c r="BP328" s="644"/>
      <c r="BQ328"/>
      <c r="BR328" s="14"/>
    </row>
    <row r="329" spans="33:70" x14ac:dyDescent="0.25">
      <c r="AG329" s="211"/>
      <c r="AH329" s="211"/>
      <c r="AI329" s="218"/>
      <c r="AJ329" s="211"/>
      <c r="AP329" s="71"/>
      <c r="AQ329" s="71"/>
      <c r="AT329" s="211"/>
      <c r="AU329"/>
      <c r="AV329"/>
      <c r="BO329" s="644"/>
      <c r="BP329" s="644"/>
      <c r="BQ329"/>
      <c r="BR329" s="14"/>
    </row>
    <row r="330" spans="33:70" x14ac:dyDescent="0.25">
      <c r="AG330" s="211"/>
      <c r="AH330" s="211"/>
      <c r="AI330" s="218"/>
      <c r="AJ330" s="211"/>
      <c r="AP330" s="71"/>
      <c r="AQ330" s="71"/>
      <c r="AT330" s="211"/>
      <c r="AU330"/>
      <c r="AV330"/>
      <c r="BO330" s="644"/>
      <c r="BP330" s="644"/>
      <c r="BQ330"/>
      <c r="BR330" s="14"/>
    </row>
    <row r="331" spans="33:70" x14ac:dyDescent="0.25">
      <c r="AG331" s="211"/>
      <c r="AH331" s="211"/>
      <c r="AI331" s="218"/>
      <c r="AJ331" s="211"/>
      <c r="AP331" s="71"/>
      <c r="AQ331" s="71"/>
      <c r="AT331" s="211"/>
      <c r="AU331"/>
      <c r="AV331"/>
      <c r="BO331" s="644"/>
      <c r="BP331" s="644"/>
      <c r="BQ331"/>
      <c r="BR331" s="14"/>
    </row>
    <row r="332" spans="33:70" x14ac:dyDescent="0.25">
      <c r="AG332" s="211"/>
      <c r="AH332" s="211"/>
      <c r="AI332" s="218"/>
      <c r="AJ332" s="211"/>
      <c r="AP332" s="71"/>
      <c r="AQ332" s="71"/>
      <c r="AT332" s="211"/>
      <c r="AU332"/>
      <c r="AV332"/>
      <c r="BO332" s="644"/>
      <c r="BP332" s="644"/>
      <c r="BQ332"/>
      <c r="BR332" s="14"/>
    </row>
    <row r="333" spans="33:70" x14ac:dyDescent="0.25">
      <c r="AG333" s="211"/>
      <c r="AH333" s="211"/>
      <c r="AI333" s="218"/>
      <c r="AJ333" s="211"/>
      <c r="AP333" s="71"/>
      <c r="AQ333" s="71"/>
      <c r="AT333" s="211"/>
      <c r="AU333"/>
      <c r="AV333"/>
      <c r="BO333" s="644"/>
      <c r="BP333" s="644"/>
      <c r="BQ333"/>
      <c r="BR333" s="14"/>
    </row>
    <row r="334" spans="33:70" x14ac:dyDescent="0.25">
      <c r="AG334" s="211"/>
      <c r="AH334" s="211"/>
      <c r="AI334" s="218"/>
      <c r="AJ334" s="211"/>
      <c r="AP334" s="71"/>
      <c r="AQ334" s="71"/>
      <c r="AT334" s="211"/>
      <c r="AU334"/>
      <c r="AV334"/>
      <c r="BO334" s="644"/>
      <c r="BP334" s="644"/>
      <c r="BQ334"/>
      <c r="BR334" s="14"/>
    </row>
    <row r="335" spans="33:70" x14ac:dyDescent="0.25">
      <c r="AG335" s="211"/>
      <c r="AH335" s="211"/>
      <c r="AI335" s="218"/>
      <c r="AJ335" s="211"/>
      <c r="AP335" s="71"/>
      <c r="AQ335" s="71"/>
      <c r="AT335" s="211"/>
      <c r="AU335"/>
      <c r="AV335"/>
      <c r="BO335" s="644"/>
      <c r="BP335" s="644"/>
      <c r="BQ335"/>
      <c r="BR335" s="14"/>
    </row>
    <row r="336" spans="33:70" x14ac:dyDescent="0.25">
      <c r="AG336" s="211"/>
      <c r="AH336" s="211"/>
      <c r="AI336" s="218"/>
      <c r="AJ336" s="211"/>
      <c r="AP336" s="71"/>
      <c r="AQ336" s="71"/>
      <c r="AT336" s="211"/>
      <c r="AU336"/>
      <c r="AV336"/>
      <c r="BO336" s="644"/>
      <c r="BP336" s="644"/>
      <c r="BQ336"/>
      <c r="BR336" s="14"/>
    </row>
    <row r="337" spans="33:70" x14ac:dyDescent="0.25">
      <c r="AG337" s="211"/>
      <c r="AH337" s="211"/>
      <c r="AI337" s="218"/>
      <c r="AJ337" s="211"/>
      <c r="AP337" s="71"/>
      <c r="AQ337" s="71"/>
      <c r="AT337" s="211"/>
      <c r="AU337"/>
      <c r="AV337"/>
      <c r="BO337" s="644"/>
      <c r="BP337" s="644"/>
      <c r="BQ337"/>
      <c r="BR337" s="14"/>
    </row>
    <row r="338" spans="33:70" x14ac:dyDescent="0.25">
      <c r="AG338" s="211"/>
      <c r="AH338" s="211"/>
      <c r="AI338" s="218"/>
      <c r="AJ338" s="211"/>
      <c r="AP338" s="71"/>
      <c r="AQ338" s="71"/>
      <c r="AT338" s="211"/>
      <c r="AU338"/>
      <c r="AV338"/>
      <c r="BO338" s="644"/>
      <c r="BP338" s="644"/>
      <c r="BQ338"/>
      <c r="BR338" s="14"/>
    </row>
    <row r="339" spans="33:70" x14ac:dyDescent="0.25">
      <c r="AG339" s="211"/>
      <c r="AH339" s="211"/>
      <c r="AI339" s="218"/>
      <c r="AJ339" s="211"/>
      <c r="AP339" s="71"/>
      <c r="AQ339" s="71"/>
      <c r="AT339" s="211"/>
      <c r="AU339"/>
      <c r="AV339"/>
      <c r="BO339" s="644"/>
      <c r="BP339" s="644"/>
      <c r="BQ339"/>
      <c r="BR339" s="14"/>
    </row>
    <row r="340" spans="33:70" x14ac:dyDescent="0.25">
      <c r="AG340" s="211"/>
      <c r="AH340" s="211"/>
      <c r="AI340" s="218"/>
      <c r="AJ340" s="211"/>
      <c r="AP340" s="71"/>
      <c r="AQ340" s="71"/>
      <c r="AT340" s="211"/>
      <c r="AU340"/>
      <c r="AV340"/>
      <c r="BO340" s="644"/>
      <c r="BP340" s="644"/>
      <c r="BQ340"/>
      <c r="BR340" s="14"/>
    </row>
    <row r="341" spans="33:70" x14ac:dyDescent="0.25">
      <c r="AG341" s="211"/>
      <c r="AH341" s="211"/>
      <c r="AI341" s="218"/>
      <c r="AJ341" s="211"/>
      <c r="AP341" s="71"/>
      <c r="AQ341" s="71"/>
      <c r="AT341" s="211"/>
      <c r="AU341"/>
      <c r="AV341"/>
      <c r="BO341" s="644"/>
      <c r="BP341" s="644"/>
      <c r="BQ341"/>
      <c r="BR341" s="14"/>
    </row>
    <row r="342" spans="33:70" x14ac:dyDescent="0.25">
      <c r="AG342" s="211"/>
      <c r="AH342" s="211"/>
      <c r="AI342" s="218"/>
      <c r="AJ342" s="211"/>
      <c r="AP342" s="71"/>
      <c r="AQ342" s="71"/>
      <c r="AT342" s="211"/>
      <c r="AU342"/>
      <c r="AV342"/>
      <c r="BO342" s="644"/>
      <c r="BP342" s="644"/>
      <c r="BQ342"/>
      <c r="BR342" s="14"/>
    </row>
    <row r="343" spans="33:70" x14ac:dyDescent="0.25">
      <c r="AG343" s="211"/>
      <c r="AH343" s="211"/>
      <c r="AI343" s="218"/>
      <c r="AJ343" s="211"/>
      <c r="AP343" s="71"/>
      <c r="AQ343" s="71"/>
      <c r="AT343" s="211"/>
      <c r="AU343"/>
      <c r="AV343"/>
      <c r="BO343" s="644"/>
      <c r="BP343" s="644"/>
      <c r="BQ343"/>
      <c r="BR343" s="14"/>
    </row>
    <row r="344" spans="33:70" x14ac:dyDescent="0.25">
      <c r="AG344" s="211"/>
      <c r="AH344" s="211"/>
      <c r="AI344" s="218"/>
      <c r="AJ344" s="211"/>
      <c r="AP344" s="71"/>
      <c r="AQ344" s="71"/>
      <c r="AT344" s="211"/>
      <c r="AU344"/>
      <c r="AV344"/>
      <c r="BO344" s="644"/>
      <c r="BP344" s="644"/>
      <c r="BQ344"/>
      <c r="BR344" s="14"/>
    </row>
    <row r="345" spans="33:70" x14ac:dyDescent="0.25">
      <c r="AG345" s="211"/>
      <c r="AH345" s="211"/>
      <c r="AI345" s="218"/>
      <c r="AJ345" s="211"/>
      <c r="AP345" s="71"/>
      <c r="AQ345" s="71"/>
      <c r="AT345" s="211"/>
      <c r="AU345"/>
      <c r="AV345"/>
      <c r="BO345" s="644"/>
      <c r="BP345" s="644"/>
      <c r="BQ345"/>
      <c r="BR345" s="14"/>
    </row>
    <row r="346" spans="33:70" x14ac:dyDescent="0.25">
      <c r="AG346" s="211"/>
      <c r="AH346" s="211"/>
      <c r="AI346" s="218"/>
      <c r="AJ346" s="211"/>
      <c r="AP346" s="71"/>
      <c r="AQ346" s="71"/>
      <c r="AT346" s="211"/>
      <c r="AU346"/>
      <c r="AV346"/>
      <c r="BO346" s="644"/>
      <c r="BP346" s="644"/>
      <c r="BQ346"/>
      <c r="BR346" s="14"/>
    </row>
    <row r="347" spans="33:70" x14ac:dyDescent="0.25">
      <c r="AG347" s="211"/>
      <c r="AH347" s="211"/>
      <c r="AI347" s="218"/>
      <c r="AJ347" s="211"/>
      <c r="AP347" s="71"/>
      <c r="AQ347" s="71"/>
      <c r="AT347" s="211"/>
      <c r="AU347"/>
      <c r="AV347"/>
      <c r="BO347" s="644"/>
      <c r="BP347" s="644"/>
      <c r="BQ347"/>
      <c r="BR347" s="14"/>
    </row>
    <row r="348" spans="33:70" x14ac:dyDescent="0.25">
      <c r="AG348" s="211"/>
      <c r="AH348" s="211"/>
      <c r="AI348" s="218"/>
      <c r="AJ348" s="211"/>
      <c r="AP348" s="71"/>
      <c r="AQ348" s="71"/>
      <c r="AT348" s="211"/>
      <c r="AU348"/>
      <c r="AV348"/>
      <c r="BO348" s="644"/>
      <c r="BP348" s="644"/>
      <c r="BQ348"/>
      <c r="BR348" s="14"/>
    </row>
    <row r="349" spans="33:70" x14ac:dyDescent="0.25">
      <c r="AG349" s="211"/>
      <c r="AH349" s="211"/>
      <c r="AI349" s="218"/>
      <c r="AJ349" s="211"/>
      <c r="AP349" s="71"/>
      <c r="AQ349" s="71"/>
      <c r="AT349" s="211"/>
      <c r="AU349"/>
      <c r="AV349"/>
      <c r="BO349" s="644"/>
      <c r="BP349" s="644"/>
      <c r="BQ349"/>
      <c r="BR349" s="14"/>
    </row>
    <row r="350" spans="33:70" x14ac:dyDescent="0.25">
      <c r="AG350" s="211"/>
      <c r="AH350" s="211"/>
      <c r="AI350" s="218"/>
      <c r="AJ350" s="211"/>
      <c r="AP350" s="71"/>
      <c r="AQ350" s="71"/>
      <c r="AT350" s="211"/>
      <c r="AU350"/>
      <c r="AV350"/>
      <c r="BO350" s="644"/>
      <c r="BP350" s="644"/>
      <c r="BQ350"/>
      <c r="BR350" s="14"/>
    </row>
    <row r="351" spans="33:70" x14ac:dyDescent="0.25">
      <c r="AG351" s="211"/>
      <c r="AH351" s="211"/>
      <c r="AI351" s="218"/>
      <c r="AJ351" s="211"/>
      <c r="AP351" s="71"/>
      <c r="AQ351" s="71"/>
      <c r="AT351" s="211"/>
      <c r="AU351"/>
      <c r="AV351"/>
      <c r="BO351" s="644"/>
      <c r="BP351" s="644"/>
      <c r="BQ351"/>
      <c r="BR351" s="14"/>
    </row>
    <row r="352" spans="33:70" x14ac:dyDescent="0.25">
      <c r="AG352" s="211"/>
      <c r="AH352" s="211"/>
      <c r="AI352" s="218"/>
      <c r="AJ352" s="211"/>
      <c r="AP352" s="71"/>
      <c r="AQ352" s="71"/>
      <c r="AT352" s="211"/>
      <c r="AU352"/>
      <c r="AV352"/>
      <c r="BO352" s="644"/>
      <c r="BP352" s="644"/>
      <c r="BQ352"/>
      <c r="BR352" s="14"/>
    </row>
    <row r="353" spans="33:70" x14ac:dyDescent="0.25">
      <c r="AG353" s="211"/>
      <c r="AH353" s="211"/>
      <c r="AI353" s="218"/>
      <c r="AJ353" s="211"/>
      <c r="AP353" s="71"/>
      <c r="AQ353" s="71"/>
      <c r="AT353" s="211"/>
      <c r="AU353"/>
      <c r="AV353"/>
      <c r="BO353" s="644"/>
      <c r="BP353" s="644"/>
      <c r="BQ353"/>
      <c r="BR353" s="14"/>
    </row>
    <row r="354" spans="33:70" x14ac:dyDescent="0.25">
      <c r="AG354" s="211"/>
      <c r="AH354" s="211"/>
      <c r="AI354" s="218"/>
      <c r="AJ354" s="211"/>
      <c r="AP354" s="71"/>
      <c r="AQ354" s="71"/>
      <c r="AT354" s="211"/>
      <c r="AU354"/>
      <c r="AV354"/>
      <c r="BO354" s="644"/>
      <c r="BP354" s="644"/>
      <c r="BQ354"/>
      <c r="BR354" s="14"/>
    </row>
    <row r="355" spans="33:70" x14ac:dyDescent="0.25">
      <c r="AG355" s="211"/>
      <c r="AH355" s="211"/>
      <c r="AI355" s="218"/>
      <c r="AJ355" s="211"/>
      <c r="AP355" s="71"/>
      <c r="AQ355" s="71"/>
      <c r="AT355" s="211"/>
      <c r="AU355"/>
      <c r="AV355"/>
      <c r="BO355" s="644"/>
      <c r="BP355" s="644"/>
      <c r="BQ355"/>
      <c r="BR355" s="14"/>
    </row>
    <row r="356" spans="33:70" x14ac:dyDescent="0.25">
      <c r="AG356" s="211"/>
      <c r="AH356" s="211"/>
      <c r="AI356" s="218"/>
      <c r="AJ356" s="211"/>
      <c r="AP356" s="71"/>
      <c r="AQ356" s="71"/>
      <c r="AT356" s="211"/>
      <c r="AU356"/>
      <c r="AV356"/>
      <c r="BO356" s="644"/>
      <c r="BP356" s="644"/>
      <c r="BQ356"/>
      <c r="BR356" s="14"/>
    </row>
    <row r="357" spans="33:70" x14ac:dyDescent="0.25">
      <c r="AG357" s="211"/>
      <c r="AH357" s="211"/>
      <c r="AI357" s="218"/>
      <c r="AJ357" s="211"/>
      <c r="AP357" s="71"/>
      <c r="AQ357" s="71"/>
      <c r="AT357" s="211"/>
      <c r="AU357"/>
      <c r="AV357"/>
      <c r="BO357" s="644"/>
      <c r="BP357" s="644"/>
      <c r="BQ357"/>
      <c r="BR357" s="14"/>
    </row>
    <row r="358" spans="33:70" x14ac:dyDescent="0.25">
      <c r="AG358" s="211"/>
      <c r="AH358" s="211"/>
      <c r="AI358" s="218"/>
      <c r="AJ358" s="211"/>
      <c r="AP358" s="71"/>
      <c r="AQ358" s="71"/>
      <c r="AT358" s="211"/>
      <c r="AU358"/>
      <c r="AV358"/>
      <c r="BO358" s="644"/>
      <c r="BP358" s="644"/>
      <c r="BQ358"/>
      <c r="BR358" s="14"/>
    </row>
    <row r="359" spans="33:70" x14ac:dyDescent="0.25">
      <c r="AG359" s="211"/>
      <c r="AH359" s="211"/>
      <c r="AI359" s="218"/>
      <c r="AJ359" s="211"/>
      <c r="AP359" s="71"/>
      <c r="AQ359" s="71"/>
      <c r="AT359" s="211"/>
      <c r="AU359"/>
      <c r="AV359"/>
      <c r="BO359" s="644"/>
      <c r="BP359" s="644"/>
      <c r="BQ359"/>
      <c r="BR359" s="14"/>
    </row>
    <row r="360" spans="33:70" x14ac:dyDescent="0.25">
      <c r="AG360" s="211"/>
      <c r="AH360" s="211"/>
      <c r="AI360" s="218"/>
      <c r="AJ360" s="211"/>
      <c r="AP360" s="71"/>
      <c r="AQ360" s="71"/>
      <c r="AT360" s="211"/>
      <c r="AU360"/>
      <c r="AV360"/>
      <c r="BO360" s="644"/>
      <c r="BP360" s="644"/>
      <c r="BQ360"/>
      <c r="BR360" s="14"/>
    </row>
    <row r="361" spans="33:70" x14ac:dyDescent="0.25">
      <c r="AG361" s="211"/>
      <c r="AH361" s="211"/>
      <c r="AI361" s="218"/>
      <c r="AJ361" s="211"/>
      <c r="AP361" s="71"/>
      <c r="AQ361" s="71"/>
      <c r="AT361" s="211"/>
      <c r="AU361"/>
      <c r="AV361"/>
      <c r="BO361" s="644"/>
      <c r="BP361" s="644"/>
      <c r="BQ361"/>
      <c r="BR361" s="14"/>
    </row>
    <row r="362" spans="33:70" x14ac:dyDescent="0.25">
      <c r="AG362" s="211"/>
      <c r="AH362" s="211"/>
      <c r="AI362" s="218"/>
      <c r="AJ362" s="211"/>
      <c r="AP362" s="71"/>
      <c r="AQ362" s="71"/>
      <c r="AT362" s="211"/>
      <c r="AU362"/>
      <c r="AV362"/>
      <c r="BO362" s="644"/>
      <c r="BP362" s="644"/>
      <c r="BQ362"/>
      <c r="BR362" s="14"/>
    </row>
    <row r="363" spans="33:70" x14ac:dyDescent="0.25">
      <c r="AG363" s="211"/>
      <c r="AH363" s="211"/>
      <c r="AI363" s="218"/>
      <c r="AJ363" s="211"/>
      <c r="AP363" s="71"/>
      <c r="AQ363" s="71"/>
      <c r="AT363" s="211"/>
      <c r="AU363"/>
      <c r="AV363"/>
      <c r="BO363" s="644"/>
      <c r="BP363" s="644"/>
      <c r="BQ363"/>
      <c r="BR363" s="14"/>
    </row>
    <row r="364" spans="33:70" x14ac:dyDescent="0.25">
      <c r="AG364" s="211"/>
      <c r="AH364" s="211"/>
      <c r="AI364" s="218"/>
      <c r="AJ364" s="211"/>
      <c r="AP364" s="71"/>
      <c r="AQ364" s="71"/>
      <c r="AT364" s="211"/>
      <c r="AU364"/>
      <c r="AV364"/>
      <c r="BO364" s="644"/>
      <c r="BP364" s="644"/>
      <c r="BQ364"/>
      <c r="BR364" s="14"/>
    </row>
    <row r="365" spans="33:70" x14ac:dyDescent="0.25">
      <c r="AG365" s="211"/>
      <c r="AH365" s="211"/>
      <c r="AI365" s="218"/>
      <c r="AJ365" s="211"/>
      <c r="AP365" s="71"/>
      <c r="AQ365" s="71"/>
      <c r="AT365" s="211"/>
      <c r="AU365"/>
      <c r="AV365"/>
      <c r="BO365" s="644"/>
      <c r="BP365" s="644"/>
      <c r="BQ365"/>
      <c r="BR365" s="14"/>
    </row>
    <row r="366" spans="33:70" x14ac:dyDescent="0.25">
      <c r="AG366" s="211"/>
      <c r="AH366" s="211"/>
      <c r="AI366" s="218"/>
      <c r="AJ366" s="211"/>
      <c r="AP366" s="71"/>
      <c r="AQ366" s="71"/>
      <c r="AT366" s="211"/>
      <c r="AU366"/>
      <c r="AV366"/>
      <c r="BO366" s="644"/>
      <c r="BP366" s="644"/>
      <c r="BQ366"/>
      <c r="BR366" s="14"/>
    </row>
    <row r="367" spans="33:70" x14ac:dyDescent="0.25">
      <c r="AG367" s="211"/>
      <c r="AH367" s="211"/>
      <c r="AI367" s="218"/>
      <c r="AJ367" s="211"/>
      <c r="AP367" s="71"/>
      <c r="AQ367" s="71"/>
      <c r="AT367" s="211"/>
      <c r="AU367"/>
      <c r="AV367"/>
      <c r="BO367" s="644"/>
      <c r="BP367" s="644"/>
      <c r="BQ367"/>
      <c r="BR367" s="14"/>
    </row>
    <row r="368" spans="33:70" x14ac:dyDescent="0.25">
      <c r="AG368" s="211"/>
      <c r="AH368" s="211"/>
      <c r="AI368" s="218"/>
      <c r="AJ368" s="211"/>
      <c r="AP368" s="71"/>
      <c r="AQ368" s="71"/>
      <c r="AT368" s="211"/>
      <c r="AU368"/>
      <c r="AV368"/>
      <c r="BO368" s="644"/>
      <c r="BP368" s="644"/>
      <c r="BQ368"/>
      <c r="BR368" s="14"/>
    </row>
    <row r="369" spans="33:70" x14ac:dyDescent="0.25">
      <c r="AG369" s="211"/>
      <c r="AH369" s="211"/>
      <c r="AI369" s="218"/>
      <c r="AJ369" s="211"/>
      <c r="AP369" s="71"/>
      <c r="AQ369" s="71"/>
      <c r="AT369" s="211"/>
      <c r="AU369"/>
      <c r="AV369"/>
      <c r="BO369" s="644"/>
      <c r="BP369" s="644"/>
      <c r="BQ369"/>
      <c r="BR369" s="14"/>
    </row>
    <row r="370" spans="33:70" x14ac:dyDescent="0.25">
      <c r="AG370" s="211"/>
      <c r="AH370" s="211"/>
      <c r="AI370" s="218"/>
      <c r="AJ370" s="211"/>
      <c r="AP370" s="71"/>
      <c r="AQ370" s="71"/>
      <c r="AT370" s="211"/>
      <c r="AU370"/>
      <c r="AV370"/>
      <c r="BO370" s="644"/>
      <c r="BP370" s="644"/>
      <c r="BQ370"/>
      <c r="BR370" s="14"/>
    </row>
    <row r="371" spans="33:70" x14ac:dyDescent="0.25">
      <c r="AG371" s="211"/>
      <c r="AH371" s="211"/>
      <c r="AI371" s="218"/>
      <c r="AJ371" s="211"/>
      <c r="AP371" s="71"/>
      <c r="AQ371" s="71"/>
      <c r="AT371" s="211"/>
      <c r="AU371"/>
      <c r="AV371"/>
      <c r="BO371" s="644"/>
      <c r="BP371" s="644"/>
      <c r="BQ371"/>
      <c r="BR371" s="14"/>
    </row>
    <row r="372" spans="33:70" x14ac:dyDescent="0.25">
      <c r="AG372" s="211"/>
      <c r="AH372" s="211"/>
      <c r="AI372" s="218"/>
      <c r="AJ372" s="211"/>
      <c r="AP372" s="71"/>
      <c r="AQ372" s="71"/>
      <c r="AT372" s="211"/>
      <c r="AU372"/>
      <c r="AV372"/>
      <c r="BO372" s="644"/>
      <c r="BP372" s="644"/>
      <c r="BQ372"/>
      <c r="BR372" s="14"/>
    </row>
    <row r="373" spans="33:70" x14ac:dyDescent="0.25">
      <c r="AG373" s="211"/>
      <c r="AH373" s="211"/>
      <c r="AI373" s="218"/>
      <c r="AJ373" s="211"/>
      <c r="AP373" s="71"/>
      <c r="AQ373" s="71"/>
      <c r="AT373" s="211"/>
      <c r="AU373"/>
      <c r="AV373"/>
      <c r="BO373" s="644"/>
      <c r="BP373" s="644"/>
      <c r="BQ373"/>
      <c r="BR373" s="14"/>
    </row>
    <row r="374" spans="33:70" x14ac:dyDescent="0.25">
      <c r="AG374" s="211"/>
      <c r="AH374" s="211"/>
      <c r="AI374" s="218"/>
      <c r="AJ374" s="211"/>
      <c r="AP374" s="71"/>
      <c r="AQ374" s="71"/>
      <c r="AT374" s="211"/>
      <c r="AU374"/>
      <c r="AV374"/>
      <c r="BO374" s="644"/>
      <c r="BP374" s="644"/>
      <c r="BQ374"/>
      <c r="BR374" s="14"/>
    </row>
    <row r="375" spans="33:70" x14ac:dyDescent="0.25">
      <c r="AG375" s="211"/>
      <c r="AH375" s="211"/>
      <c r="AI375" s="218"/>
      <c r="AJ375" s="211"/>
      <c r="AP375" s="71"/>
      <c r="AQ375" s="71"/>
      <c r="AT375" s="211"/>
      <c r="AU375"/>
      <c r="AV375"/>
      <c r="BO375" s="644"/>
      <c r="BP375" s="644"/>
      <c r="BQ375"/>
      <c r="BR375" s="14"/>
    </row>
    <row r="376" spans="33:70" x14ac:dyDescent="0.25">
      <c r="AG376" s="211"/>
      <c r="AH376" s="211"/>
      <c r="AI376" s="218"/>
      <c r="AJ376" s="211"/>
      <c r="AP376" s="71"/>
      <c r="AQ376" s="71"/>
      <c r="AT376" s="211"/>
      <c r="AU376"/>
      <c r="AV376"/>
      <c r="BO376" s="644"/>
      <c r="BP376" s="644"/>
      <c r="BQ376"/>
      <c r="BR376" s="14"/>
    </row>
    <row r="377" spans="33:70" x14ac:dyDescent="0.25">
      <c r="AG377" s="211"/>
      <c r="AH377" s="211"/>
      <c r="AI377" s="218"/>
      <c r="AJ377" s="211"/>
      <c r="AP377" s="71"/>
      <c r="AQ377" s="71"/>
      <c r="AT377" s="211"/>
      <c r="AU377"/>
      <c r="AV377"/>
      <c r="BO377" s="644"/>
      <c r="BP377" s="644"/>
      <c r="BQ377"/>
      <c r="BR377" s="14"/>
    </row>
    <row r="378" spans="33:70" x14ac:dyDescent="0.25">
      <c r="AG378" s="211"/>
      <c r="AH378" s="211"/>
      <c r="AI378" s="218"/>
      <c r="AJ378" s="211"/>
      <c r="AP378" s="71"/>
      <c r="AQ378" s="71"/>
      <c r="AT378" s="211"/>
      <c r="AU378"/>
      <c r="AV378"/>
      <c r="BO378" s="644"/>
      <c r="BP378" s="644"/>
      <c r="BQ378"/>
      <c r="BR378" s="14"/>
    </row>
    <row r="379" spans="33:70" x14ac:dyDescent="0.25">
      <c r="AG379" s="211"/>
      <c r="AH379" s="211"/>
      <c r="AI379" s="218"/>
      <c r="AJ379" s="211"/>
      <c r="AP379" s="71"/>
      <c r="AQ379" s="71"/>
      <c r="AT379" s="211"/>
      <c r="AU379"/>
      <c r="AV379"/>
      <c r="BO379" s="644"/>
      <c r="BP379" s="644"/>
      <c r="BQ379"/>
      <c r="BR379" s="14"/>
    </row>
    <row r="380" spans="33:70" x14ac:dyDescent="0.25">
      <c r="AG380" s="211"/>
      <c r="AH380" s="211"/>
      <c r="AI380" s="218"/>
      <c r="AJ380" s="211"/>
      <c r="AP380" s="71"/>
      <c r="AQ380" s="71"/>
      <c r="AT380" s="211"/>
      <c r="AU380"/>
      <c r="AV380"/>
      <c r="BO380" s="644"/>
      <c r="BP380" s="644"/>
      <c r="BQ380"/>
      <c r="BR380" s="14"/>
    </row>
    <row r="381" spans="33:70" x14ac:dyDescent="0.25">
      <c r="AG381" s="211"/>
      <c r="AH381" s="211"/>
      <c r="AI381" s="218"/>
      <c r="AJ381" s="211"/>
      <c r="AP381" s="71"/>
      <c r="AQ381" s="71"/>
      <c r="AT381" s="211"/>
      <c r="AU381"/>
      <c r="AV381"/>
      <c r="BO381" s="644"/>
      <c r="BP381" s="644"/>
      <c r="BQ381"/>
      <c r="BR381" s="14"/>
    </row>
    <row r="382" spans="33:70" x14ac:dyDescent="0.25">
      <c r="AG382" s="211"/>
      <c r="AH382" s="211"/>
      <c r="AI382" s="218"/>
      <c r="AJ382" s="211"/>
      <c r="AP382" s="71"/>
      <c r="AQ382" s="71"/>
      <c r="AT382" s="211"/>
      <c r="AU382"/>
      <c r="AV382"/>
      <c r="BO382" s="644"/>
      <c r="BP382" s="644"/>
      <c r="BQ382"/>
      <c r="BR382" s="14"/>
    </row>
    <row r="383" spans="33:70" x14ac:dyDescent="0.25">
      <c r="AG383" s="211"/>
      <c r="AH383" s="211"/>
      <c r="AI383" s="218"/>
      <c r="AJ383" s="211"/>
      <c r="AP383" s="71"/>
      <c r="AQ383" s="71"/>
      <c r="AT383" s="211"/>
      <c r="AU383"/>
      <c r="AV383"/>
      <c r="BO383" s="644"/>
      <c r="BP383" s="644"/>
      <c r="BQ383"/>
      <c r="BR383" s="14"/>
    </row>
    <row r="384" spans="33:70" x14ac:dyDescent="0.25">
      <c r="AG384" s="211"/>
      <c r="AH384" s="211"/>
      <c r="AI384" s="218"/>
      <c r="AJ384" s="211"/>
      <c r="AP384" s="71"/>
      <c r="AQ384" s="71"/>
      <c r="AT384" s="211"/>
      <c r="AU384"/>
      <c r="AV384"/>
      <c r="BO384" s="644"/>
      <c r="BP384" s="644"/>
      <c r="BQ384"/>
      <c r="BR384" s="14"/>
    </row>
    <row r="385" spans="33:70" x14ac:dyDescent="0.25">
      <c r="AG385" s="211"/>
      <c r="AH385" s="211"/>
      <c r="AI385" s="218"/>
      <c r="AJ385" s="211"/>
      <c r="AP385" s="71"/>
      <c r="AQ385" s="71"/>
      <c r="AT385" s="211"/>
      <c r="AU385"/>
      <c r="AV385"/>
      <c r="BO385" s="644"/>
      <c r="BP385" s="644"/>
      <c r="BQ385"/>
      <c r="BR385" s="14"/>
    </row>
    <row r="386" spans="33:70" x14ac:dyDescent="0.25">
      <c r="AG386" s="211"/>
      <c r="AH386" s="211"/>
      <c r="AI386" s="218"/>
      <c r="AJ386" s="211"/>
      <c r="AP386" s="71"/>
      <c r="AQ386" s="71"/>
      <c r="AT386" s="211"/>
      <c r="AU386"/>
      <c r="AV386"/>
      <c r="BO386" s="644"/>
      <c r="BP386" s="644"/>
      <c r="BQ386"/>
      <c r="BR386" s="14"/>
    </row>
    <row r="387" spans="33:70" x14ac:dyDescent="0.25">
      <c r="AG387" s="211"/>
      <c r="AH387" s="211"/>
      <c r="AI387" s="218"/>
      <c r="AJ387" s="211"/>
      <c r="AP387" s="71"/>
      <c r="AQ387" s="71"/>
      <c r="AT387" s="211"/>
      <c r="AU387"/>
      <c r="AV387"/>
      <c r="BO387" s="644"/>
      <c r="BP387" s="644"/>
      <c r="BQ387"/>
      <c r="BR387" s="14"/>
    </row>
    <row r="388" spans="33:70" x14ac:dyDescent="0.25">
      <c r="AG388" s="211"/>
      <c r="AH388" s="211"/>
      <c r="AI388" s="218"/>
      <c r="AJ388" s="211"/>
      <c r="AP388" s="71"/>
      <c r="AQ388" s="71"/>
      <c r="AT388" s="211"/>
      <c r="AU388"/>
      <c r="AV388"/>
      <c r="BO388" s="644"/>
      <c r="BP388" s="644"/>
      <c r="BQ388"/>
      <c r="BR388" s="14"/>
    </row>
    <row r="389" spans="33:70" x14ac:dyDescent="0.25">
      <c r="AG389" s="211"/>
      <c r="AH389" s="211"/>
      <c r="AI389" s="218"/>
      <c r="AJ389" s="211"/>
      <c r="AP389" s="71"/>
      <c r="AQ389" s="71"/>
      <c r="AT389" s="211"/>
      <c r="AU389"/>
      <c r="AV389"/>
      <c r="BO389" s="644"/>
      <c r="BP389" s="644"/>
      <c r="BQ389"/>
      <c r="BR389" s="14"/>
    </row>
    <row r="390" spans="33:70" x14ac:dyDescent="0.25">
      <c r="AG390" s="211"/>
      <c r="AH390" s="211"/>
      <c r="AI390" s="218"/>
      <c r="AJ390" s="211"/>
      <c r="AP390" s="71"/>
      <c r="AQ390" s="71"/>
      <c r="AT390" s="211"/>
      <c r="AU390"/>
      <c r="AV390"/>
      <c r="BO390" s="644"/>
      <c r="BP390" s="644"/>
      <c r="BQ390"/>
      <c r="BR390" s="14"/>
    </row>
    <row r="391" spans="33:70" x14ac:dyDescent="0.25">
      <c r="AG391" s="211"/>
      <c r="AH391" s="211"/>
      <c r="AI391" s="218"/>
      <c r="AJ391" s="211"/>
      <c r="AP391" s="71"/>
      <c r="AQ391" s="71"/>
      <c r="AT391" s="211"/>
      <c r="AU391"/>
      <c r="AV391"/>
      <c r="BO391" s="644"/>
      <c r="BP391" s="644"/>
      <c r="BQ391"/>
      <c r="BR391" s="14"/>
    </row>
    <row r="392" spans="33:70" x14ac:dyDescent="0.25">
      <c r="AG392" s="211"/>
      <c r="AH392" s="211"/>
      <c r="AI392" s="218"/>
      <c r="AJ392" s="211"/>
      <c r="AP392" s="71"/>
      <c r="AQ392" s="71"/>
      <c r="AT392" s="211"/>
      <c r="AU392"/>
      <c r="AV392"/>
      <c r="BO392" s="644"/>
      <c r="BP392" s="644"/>
      <c r="BQ392"/>
      <c r="BR392" s="14"/>
    </row>
    <row r="393" spans="33:70" x14ac:dyDescent="0.25">
      <c r="AG393" s="211"/>
      <c r="AH393" s="211"/>
      <c r="AI393" s="218"/>
      <c r="AJ393" s="211"/>
      <c r="AP393" s="71"/>
      <c r="AQ393" s="71"/>
      <c r="AT393" s="211"/>
      <c r="AU393"/>
      <c r="AV393"/>
      <c r="BO393" s="644"/>
      <c r="BP393" s="644"/>
      <c r="BQ393"/>
      <c r="BR393" s="14"/>
    </row>
    <row r="394" spans="33:70" x14ac:dyDescent="0.25">
      <c r="AG394" s="211"/>
      <c r="AH394" s="211"/>
      <c r="AI394" s="218"/>
      <c r="AJ394" s="211"/>
      <c r="AP394" s="71"/>
      <c r="AQ394" s="71"/>
      <c r="AT394" s="211"/>
      <c r="AU394"/>
      <c r="AV394"/>
      <c r="BO394" s="644"/>
      <c r="BP394" s="644"/>
      <c r="BQ394"/>
      <c r="BR394" s="14"/>
    </row>
    <row r="395" spans="33:70" x14ac:dyDescent="0.25">
      <c r="AG395" s="211"/>
      <c r="AH395" s="211"/>
      <c r="AI395" s="218"/>
      <c r="AJ395" s="211"/>
      <c r="AP395" s="71"/>
      <c r="AQ395" s="71"/>
      <c r="AT395" s="211"/>
      <c r="AU395"/>
      <c r="AV395"/>
      <c r="BO395" s="644"/>
      <c r="BP395" s="644"/>
      <c r="BQ395"/>
      <c r="BR395" s="14"/>
    </row>
    <row r="396" spans="33:70" x14ac:dyDescent="0.25">
      <c r="AG396" s="211"/>
      <c r="AH396" s="211"/>
      <c r="AI396" s="218"/>
      <c r="AJ396" s="211"/>
      <c r="AP396" s="71"/>
      <c r="AQ396" s="71"/>
      <c r="AT396" s="211"/>
      <c r="AU396"/>
      <c r="AV396"/>
      <c r="BO396" s="644"/>
      <c r="BP396" s="644"/>
      <c r="BQ396"/>
      <c r="BR396" s="14"/>
    </row>
    <row r="397" spans="33:70" x14ac:dyDescent="0.25">
      <c r="AG397" s="211"/>
      <c r="AH397" s="211"/>
      <c r="AI397" s="218"/>
      <c r="AJ397" s="211"/>
      <c r="AP397" s="71"/>
      <c r="AQ397" s="71"/>
      <c r="AT397" s="211"/>
      <c r="AU397"/>
      <c r="AV397"/>
      <c r="BO397" s="644"/>
      <c r="BP397" s="644"/>
      <c r="BQ397"/>
      <c r="BR397" s="14"/>
    </row>
    <row r="398" spans="33:70" x14ac:dyDescent="0.25">
      <c r="AG398" s="211"/>
      <c r="AH398" s="211"/>
      <c r="AI398" s="218"/>
      <c r="AJ398" s="211"/>
      <c r="AP398" s="71"/>
      <c r="AQ398" s="71"/>
      <c r="AT398" s="211"/>
      <c r="AU398"/>
      <c r="AV398"/>
      <c r="BO398" s="644"/>
      <c r="BP398" s="644"/>
      <c r="BQ398"/>
      <c r="BR398" s="14"/>
    </row>
    <row r="399" spans="33:70" x14ac:dyDescent="0.25">
      <c r="AG399" s="211"/>
      <c r="AH399" s="211"/>
      <c r="AI399" s="218"/>
      <c r="AJ399" s="211"/>
      <c r="AP399" s="71"/>
      <c r="AQ399" s="71"/>
      <c r="AT399" s="211"/>
      <c r="AU399"/>
      <c r="AV399"/>
      <c r="BO399" s="644"/>
      <c r="BP399" s="644"/>
      <c r="BQ399"/>
      <c r="BR399" s="14"/>
    </row>
    <row r="400" spans="33:70" x14ac:dyDescent="0.25">
      <c r="AG400" s="211"/>
      <c r="AH400" s="211"/>
      <c r="AI400" s="218"/>
      <c r="AJ400" s="211"/>
      <c r="AP400" s="71"/>
      <c r="AQ400" s="71"/>
      <c r="AT400" s="211"/>
      <c r="AU400"/>
      <c r="AV400"/>
      <c r="BO400" s="644"/>
      <c r="BP400" s="644"/>
      <c r="BQ400"/>
      <c r="BR400" s="14"/>
    </row>
    <row r="401" spans="33:70" x14ac:dyDescent="0.25">
      <c r="AG401" s="211"/>
      <c r="AH401" s="211"/>
      <c r="AI401" s="218"/>
      <c r="AJ401" s="211"/>
      <c r="AP401" s="71"/>
      <c r="AQ401" s="71"/>
      <c r="AT401" s="211"/>
      <c r="AU401"/>
      <c r="AV401"/>
      <c r="BO401" s="644"/>
      <c r="BP401" s="644"/>
      <c r="BQ401"/>
      <c r="BR401" s="14"/>
    </row>
    <row r="402" spans="33:70" x14ac:dyDescent="0.25">
      <c r="AG402" s="211"/>
      <c r="AH402" s="211"/>
      <c r="AI402" s="218"/>
      <c r="AJ402" s="211"/>
      <c r="AP402" s="71"/>
      <c r="AQ402" s="71"/>
      <c r="AT402" s="211"/>
      <c r="AU402"/>
      <c r="AV402"/>
      <c r="BO402" s="644"/>
      <c r="BP402" s="644"/>
      <c r="BQ402"/>
      <c r="BR402" s="14"/>
    </row>
    <row r="403" spans="33:70" x14ac:dyDescent="0.25">
      <c r="AG403" s="211"/>
      <c r="AH403" s="211"/>
      <c r="AI403" s="218"/>
      <c r="AJ403" s="211"/>
      <c r="AP403" s="71"/>
      <c r="AQ403" s="71"/>
      <c r="AT403" s="211"/>
      <c r="AU403"/>
      <c r="AV403"/>
      <c r="BO403" s="644"/>
      <c r="BP403" s="644"/>
      <c r="BQ403"/>
      <c r="BR403" s="14"/>
    </row>
    <row r="404" spans="33:70" x14ac:dyDescent="0.25">
      <c r="AG404" s="211"/>
      <c r="AH404" s="211"/>
      <c r="AI404" s="218"/>
      <c r="AJ404" s="211"/>
      <c r="AP404" s="71"/>
      <c r="AQ404" s="71"/>
      <c r="AT404" s="211"/>
      <c r="AU404"/>
      <c r="AV404"/>
      <c r="BO404" s="644"/>
      <c r="BP404" s="644"/>
      <c r="BQ404"/>
      <c r="BR404" s="14"/>
    </row>
    <row r="405" spans="33:70" x14ac:dyDescent="0.25">
      <c r="AG405" s="211"/>
      <c r="AH405" s="211"/>
      <c r="AI405" s="218"/>
      <c r="AJ405" s="211"/>
      <c r="AP405" s="71"/>
      <c r="AQ405" s="71"/>
      <c r="AT405" s="211"/>
      <c r="AU405"/>
      <c r="AV405"/>
      <c r="BO405" s="644"/>
      <c r="BP405" s="644"/>
      <c r="BQ405"/>
      <c r="BR405" s="14"/>
    </row>
    <row r="406" spans="33:70" x14ac:dyDescent="0.25">
      <c r="AG406" s="211"/>
      <c r="AH406" s="211"/>
      <c r="AI406" s="218"/>
      <c r="AJ406" s="211"/>
      <c r="AP406" s="71"/>
      <c r="AQ406" s="71"/>
      <c r="AT406" s="211"/>
      <c r="AU406"/>
      <c r="AV406"/>
      <c r="BO406" s="644"/>
      <c r="BP406" s="644"/>
      <c r="BQ406"/>
      <c r="BR406" s="14"/>
    </row>
    <row r="407" spans="33:70" x14ac:dyDescent="0.25">
      <c r="AG407" s="211"/>
      <c r="AH407" s="211"/>
      <c r="AI407" s="218"/>
      <c r="AJ407" s="211"/>
      <c r="AP407" s="71"/>
      <c r="AQ407" s="71"/>
      <c r="AT407" s="211"/>
      <c r="AU407"/>
      <c r="AV407"/>
      <c r="BO407" s="644"/>
      <c r="BP407" s="644"/>
      <c r="BQ407"/>
      <c r="BR407" s="14"/>
    </row>
    <row r="408" spans="33:70" x14ac:dyDescent="0.25">
      <c r="AG408" s="211"/>
      <c r="AH408" s="211"/>
      <c r="AI408" s="218"/>
      <c r="AJ408" s="211"/>
      <c r="AP408" s="71"/>
      <c r="AQ408" s="71"/>
      <c r="AT408" s="211"/>
      <c r="AU408"/>
      <c r="AV408"/>
      <c r="BO408" s="644"/>
      <c r="BP408" s="644"/>
      <c r="BQ408"/>
      <c r="BR408" s="14"/>
    </row>
    <row r="409" spans="33:70" x14ac:dyDescent="0.25">
      <c r="AG409" s="211"/>
      <c r="AH409" s="211"/>
      <c r="AI409" s="218"/>
      <c r="AJ409" s="211"/>
      <c r="AP409" s="71"/>
      <c r="AQ409" s="71"/>
      <c r="AT409" s="211"/>
      <c r="AU409"/>
      <c r="AV409"/>
      <c r="BO409" s="644"/>
      <c r="BP409" s="644"/>
      <c r="BQ409"/>
      <c r="BR409" s="14"/>
    </row>
    <row r="410" spans="33:70" x14ac:dyDescent="0.25">
      <c r="AG410" s="211"/>
      <c r="AH410" s="211"/>
      <c r="AI410" s="218"/>
      <c r="AJ410" s="211"/>
      <c r="AP410" s="71"/>
      <c r="AQ410" s="71"/>
      <c r="AT410" s="211"/>
      <c r="AU410"/>
      <c r="AV410"/>
      <c r="BO410" s="644"/>
      <c r="BP410" s="644"/>
      <c r="BQ410"/>
      <c r="BR410" s="14"/>
    </row>
    <row r="411" spans="33:70" x14ac:dyDescent="0.25">
      <c r="AG411" s="211"/>
      <c r="AH411" s="211"/>
      <c r="AI411" s="218"/>
      <c r="AJ411" s="211"/>
      <c r="AP411" s="71"/>
      <c r="AQ411" s="71"/>
      <c r="AT411" s="211"/>
      <c r="AU411"/>
      <c r="AV411"/>
      <c r="BO411" s="644"/>
      <c r="BP411" s="644"/>
      <c r="BQ411"/>
      <c r="BR411" s="14"/>
    </row>
    <row r="412" spans="33:70" x14ac:dyDescent="0.25">
      <c r="AG412" s="211"/>
      <c r="AH412" s="211"/>
      <c r="AI412" s="218"/>
      <c r="AJ412" s="211"/>
      <c r="AP412" s="71"/>
      <c r="AQ412" s="71"/>
      <c r="AT412" s="211"/>
      <c r="AU412"/>
      <c r="AV412"/>
      <c r="BO412" s="644"/>
      <c r="BP412" s="644"/>
      <c r="BQ412"/>
      <c r="BR412" s="14"/>
    </row>
    <row r="413" spans="33:70" x14ac:dyDescent="0.25">
      <c r="AG413" s="211"/>
      <c r="AH413" s="211"/>
      <c r="AI413" s="218"/>
      <c r="AJ413" s="211"/>
      <c r="AP413" s="71"/>
      <c r="AQ413" s="71"/>
      <c r="AT413" s="211"/>
      <c r="AU413"/>
      <c r="AV413"/>
      <c r="BO413" s="644"/>
      <c r="BP413" s="644"/>
      <c r="BQ413"/>
      <c r="BR413" s="14"/>
    </row>
    <row r="414" spans="33:70" x14ac:dyDescent="0.25">
      <c r="AG414" s="211"/>
      <c r="AH414" s="211"/>
      <c r="AI414" s="218"/>
      <c r="AJ414" s="211"/>
      <c r="AP414" s="71"/>
      <c r="AQ414" s="71"/>
      <c r="AT414" s="211"/>
      <c r="AU414"/>
      <c r="AV414"/>
      <c r="BO414" s="644"/>
      <c r="BP414" s="644"/>
      <c r="BQ414"/>
      <c r="BR414" s="14"/>
    </row>
    <row r="415" spans="33:70" x14ac:dyDescent="0.25">
      <c r="AG415" s="211"/>
      <c r="AH415" s="211"/>
      <c r="AI415" s="218"/>
      <c r="AJ415" s="211"/>
      <c r="AP415" s="71"/>
      <c r="AQ415" s="71"/>
      <c r="AT415" s="211"/>
      <c r="AU415"/>
      <c r="AV415"/>
      <c r="BO415" s="644"/>
      <c r="BP415" s="644"/>
      <c r="BQ415"/>
      <c r="BR415" s="14"/>
    </row>
    <row r="416" spans="33:70" x14ac:dyDescent="0.25">
      <c r="AG416" s="211"/>
      <c r="AH416" s="211"/>
      <c r="AI416" s="218"/>
      <c r="AJ416" s="211"/>
      <c r="AP416" s="71"/>
      <c r="AQ416" s="71"/>
      <c r="AT416" s="211"/>
      <c r="AU416"/>
      <c r="AV416"/>
      <c r="BO416" s="644"/>
      <c r="BP416" s="644"/>
      <c r="BQ416"/>
      <c r="BR416" s="14"/>
    </row>
    <row r="417" spans="33:70" x14ac:dyDescent="0.25">
      <c r="AG417" s="211"/>
      <c r="AH417" s="211"/>
      <c r="AI417" s="218"/>
      <c r="AJ417" s="211"/>
      <c r="AP417" s="71"/>
      <c r="AQ417" s="71"/>
      <c r="AT417" s="211"/>
      <c r="AU417"/>
      <c r="AV417"/>
      <c r="BO417" s="644"/>
      <c r="BP417" s="644"/>
      <c r="BQ417"/>
      <c r="BR417" s="14"/>
    </row>
    <row r="418" spans="33:70" x14ac:dyDescent="0.25">
      <c r="AG418" s="211"/>
      <c r="AH418" s="211"/>
      <c r="AI418" s="218"/>
      <c r="AJ418" s="211"/>
      <c r="AP418" s="71"/>
      <c r="AQ418" s="71"/>
      <c r="AT418" s="211"/>
      <c r="AU418"/>
      <c r="AV418"/>
      <c r="BO418" s="644"/>
      <c r="BP418" s="644"/>
      <c r="BQ418"/>
      <c r="BR418" s="14"/>
    </row>
    <row r="419" spans="33:70" x14ac:dyDescent="0.25">
      <c r="AG419" s="211"/>
      <c r="AH419" s="211"/>
      <c r="AI419" s="218"/>
      <c r="AJ419" s="211"/>
      <c r="AP419" s="71"/>
      <c r="AQ419" s="71"/>
      <c r="AT419" s="211"/>
      <c r="AU419"/>
      <c r="AV419"/>
      <c r="BO419" s="644"/>
      <c r="BP419" s="644"/>
      <c r="BQ419"/>
      <c r="BR419" s="14"/>
    </row>
    <row r="420" spans="33:70" x14ac:dyDescent="0.25">
      <c r="AG420" s="211"/>
      <c r="AH420" s="211"/>
      <c r="AI420" s="218"/>
      <c r="AJ420" s="211"/>
      <c r="AP420" s="71"/>
      <c r="AQ420" s="71"/>
      <c r="AT420" s="211"/>
      <c r="AU420"/>
      <c r="AV420"/>
      <c r="BO420" s="644"/>
      <c r="BP420" s="644"/>
      <c r="BQ420"/>
      <c r="BR420" s="14"/>
    </row>
    <row r="421" spans="33:70" x14ac:dyDescent="0.25">
      <c r="AG421" s="211"/>
      <c r="AH421" s="211"/>
      <c r="AI421" s="218"/>
      <c r="AJ421" s="211"/>
      <c r="AP421" s="71"/>
      <c r="AQ421" s="71"/>
      <c r="AT421" s="211"/>
      <c r="AU421"/>
      <c r="AV421"/>
      <c r="BO421" s="644"/>
      <c r="BP421" s="644"/>
      <c r="BQ421"/>
      <c r="BR421" s="14"/>
    </row>
    <row r="422" spans="33:70" x14ac:dyDescent="0.25">
      <c r="AG422" s="211"/>
      <c r="AH422" s="211"/>
      <c r="AI422" s="218"/>
      <c r="AJ422" s="211"/>
      <c r="AP422" s="71"/>
      <c r="AQ422" s="71"/>
      <c r="AT422" s="211"/>
      <c r="AU422"/>
      <c r="AV422"/>
      <c r="BO422" s="644"/>
      <c r="BP422" s="644"/>
      <c r="BQ422"/>
      <c r="BR422" s="14"/>
    </row>
    <row r="423" spans="33:70" x14ac:dyDescent="0.25">
      <c r="AG423" s="211"/>
      <c r="AH423" s="211"/>
      <c r="AI423" s="218"/>
      <c r="AJ423" s="211"/>
      <c r="AP423" s="71"/>
      <c r="AQ423" s="71"/>
      <c r="AT423" s="211"/>
      <c r="AU423"/>
      <c r="AV423"/>
      <c r="BO423" s="644"/>
      <c r="BP423" s="644"/>
      <c r="BQ423"/>
      <c r="BR423" s="14"/>
    </row>
    <row r="424" spans="33:70" x14ac:dyDescent="0.25">
      <c r="AG424" s="211"/>
      <c r="AH424" s="211"/>
      <c r="AI424" s="218"/>
      <c r="AJ424" s="211"/>
      <c r="AP424" s="71"/>
      <c r="AQ424" s="71"/>
      <c r="AT424" s="211"/>
      <c r="AU424"/>
      <c r="AV424"/>
      <c r="BO424" s="644"/>
      <c r="BP424" s="644"/>
      <c r="BQ424"/>
      <c r="BR424" s="14"/>
    </row>
    <row r="425" spans="33:70" x14ac:dyDescent="0.25">
      <c r="AG425" s="211"/>
      <c r="AH425" s="211"/>
      <c r="AI425" s="218"/>
      <c r="AJ425" s="211"/>
      <c r="AP425" s="71"/>
      <c r="AQ425" s="71"/>
      <c r="AT425" s="211"/>
      <c r="AU425"/>
      <c r="AV425"/>
      <c r="BO425" s="644"/>
      <c r="BP425" s="644"/>
      <c r="BQ425"/>
      <c r="BR425" s="14"/>
    </row>
    <row r="426" spans="33:70" x14ac:dyDescent="0.25">
      <c r="AG426" s="211"/>
      <c r="AH426" s="211"/>
      <c r="AI426" s="218"/>
      <c r="AJ426" s="211"/>
      <c r="AP426" s="71"/>
      <c r="AQ426" s="71"/>
      <c r="AT426" s="211"/>
      <c r="AU426"/>
      <c r="AV426"/>
      <c r="BO426" s="644"/>
      <c r="BP426" s="644"/>
      <c r="BQ426"/>
      <c r="BR426" s="14"/>
    </row>
    <row r="427" spans="33:70" x14ac:dyDescent="0.25">
      <c r="AG427" s="211"/>
      <c r="AH427" s="211"/>
      <c r="AI427" s="218"/>
      <c r="AJ427" s="211"/>
      <c r="AP427" s="71"/>
      <c r="AQ427" s="71"/>
      <c r="AT427" s="211"/>
      <c r="AU427"/>
      <c r="AV427"/>
      <c r="BO427" s="644"/>
      <c r="BP427" s="644"/>
      <c r="BQ427"/>
      <c r="BR427" s="14"/>
    </row>
    <row r="428" spans="33:70" x14ac:dyDescent="0.25">
      <c r="AG428" s="211"/>
      <c r="AH428" s="211"/>
      <c r="AI428" s="218"/>
      <c r="AJ428" s="211"/>
      <c r="AP428" s="71"/>
      <c r="AQ428" s="71"/>
      <c r="AT428" s="211"/>
      <c r="AU428"/>
      <c r="AV428"/>
      <c r="BO428" s="644"/>
      <c r="BP428" s="644"/>
      <c r="BQ428"/>
      <c r="BR428" s="14"/>
    </row>
    <row r="429" spans="33:70" x14ac:dyDescent="0.25">
      <c r="AG429" s="211"/>
      <c r="AH429" s="211"/>
      <c r="AI429" s="218"/>
      <c r="AJ429" s="211"/>
      <c r="AP429" s="71"/>
      <c r="AQ429" s="71"/>
      <c r="AT429" s="211"/>
      <c r="AU429"/>
      <c r="AV429"/>
      <c r="BO429" s="644"/>
      <c r="BP429" s="644"/>
      <c r="BQ429"/>
      <c r="BR429" s="14"/>
    </row>
    <row r="430" spans="33:70" x14ac:dyDescent="0.25">
      <c r="AG430" s="211"/>
      <c r="AH430" s="211"/>
      <c r="AI430" s="218"/>
      <c r="AJ430" s="211"/>
      <c r="AP430" s="71"/>
      <c r="AQ430" s="71"/>
      <c r="AT430" s="211"/>
      <c r="AU430"/>
      <c r="AV430"/>
      <c r="BO430" s="644"/>
      <c r="BP430" s="644"/>
      <c r="BQ430"/>
      <c r="BR430" s="14"/>
    </row>
    <row r="431" spans="33:70" x14ac:dyDescent="0.25">
      <c r="AG431" s="211"/>
      <c r="AH431" s="211"/>
      <c r="AI431" s="218"/>
      <c r="AJ431" s="211"/>
      <c r="AP431" s="71"/>
      <c r="AQ431" s="71"/>
      <c r="AT431" s="211"/>
      <c r="AU431"/>
      <c r="AV431"/>
      <c r="BO431" s="644"/>
      <c r="BP431" s="644"/>
      <c r="BQ431"/>
      <c r="BR431" s="14"/>
    </row>
    <row r="432" spans="33:70" x14ac:dyDescent="0.25">
      <c r="AG432" s="211"/>
      <c r="AH432" s="211"/>
      <c r="AI432" s="218"/>
      <c r="AJ432" s="211"/>
      <c r="AP432" s="71"/>
      <c r="AQ432" s="71"/>
      <c r="AT432" s="211"/>
      <c r="AU432"/>
      <c r="AV432"/>
      <c r="BO432" s="644"/>
      <c r="BP432" s="644"/>
      <c r="BQ432"/>
      <c r="BR432" s="14"/>
    </row>
    <row r="433" spans="33:70" x14ac:dyDescent="0.25">
      <c r="AG433" s="211"/>
      <c r="AH433" s="211"/>
      <c r="AI433" s="218"/>
      <c r="AJ433" s="211"/>
      <c r="AP433" s="71"/>
      <c r="AQ433" s="71"/>
      <c r="AT433" s="211"/>
      <c r="AU433"/>
      <c r="AV433"/>
      <c r="BO433" s="644"/>
      <c r="BP433" s="644"/>
      <c r="BQ433"/>
      <c r="BR433" s="14"/>
    </row>
    <row r="434" spans="33:70" x14ac:dyDescent="0.25">
      <c r="AG434" s="211"/>
      <c r="AH434" s="211"/>
      <c r="AI434" s="218"/>
      <c r="AJ434" s="211"/>
      <c r="AP434" s="71"/>
      <c r="AQ434" s="71"/>
      <c r="AT434" s="211"/>
      <c r="AU434"/>
      <c r="AV434"/>
      <c r="BO434" s="644"/>
      <c r="BP434" s="644"/>
      <c r="BQ434"/>
      <c r="BR434" s="14"/>
    </row>
    <row r="435" spans="33:70" x14ac:dyDescent="0.25">
      <c r="AG435" s="211"/>
      <c r="AH435" s="211"/>
      <c r="AI435" s="218"/>
      <c r="AJ435" s="211"/>
      <c r="AP435" s="71"/>
      <c r="AQ435" s="71"/>
      <c r="AT435" s="211"/>
      <c r="AU435"/>
      <c r="AV435"/>
      <c r="BO435" s="644"/>
      <c r="BP435" s="644"/>
      <c r="BQ435"/>
      <c r="BR435" s="14"/>
    </row>
    <row r="436" spans="33:70" x14ac:dyDescent="0.25">
      <c r="AG436" s="211"/>
      <c r="AH436" s="211"/>
      <c r="AI436" s="218"/>
      <c r="AJ436" s="211"/>
      <c r="AP436" s="71"/>
      <c r="AQ436" s="71"/>
      <c r="AT436" s="211"/>
      <c r="AU436"/>
      <c r="AV436"/>
      <c r="BO436" s="644"/>
      <c r="BP436" s="644"/>
      <c r="BQ436"/>
      <c r="BR436" s="14"/>
    </row>
    <row r="437" spans="33:70" x14ac:dyDescent="0.25">
      <c r="AG437" s="211"/>
      <c r="AH437" s="211"/>
      <c r="AI437" s="218"/>
      <c r="AJ437" s="211"/>
      <c r="AP437" s="71"/>
      <c r="AQ437" s="71"/>
      <c r="AT437" s="211"/>
      <c r="AU437"/>
      <c r="AV437"/>
      <c r="BO437" s="644"/>
      <c r="BP437" s="644"/>
      <c r="BQ437"/>
      <c r="BR437" s="14"/>
    </row>
    <row r="438" spans="33:70" x14ac:dyDescent="0.25">
      <c r="AG438" s="211"/>
      <c r="AH438" s="211"/>
      <c r="AI438" s="218"/>
      <c r="AJ438" s="211"/>
      <c r="AP438" s="71"/>
      <c r="AQ438" s="71"/>
      <c r="AT438" s="211"/>
      <c r="AU438"/>
      <c r="AV438"/>
      <c r="BO438" s="644"/>
      <c r="BP438" s="644"/>
      <c r="BQ438"/>
      <c r="BR438" s="14"/>
    </row>
    <row r="439" spans="33:70" x14ac:dyDescent="0.25">
      <c r="AG439" s="211"/>
      <c r="AH439" s="211"/>
      <c r="AI439" s="218"/>
      <c r="AJ439" s="211"/>
      <c r="AP439" s="71"/>
      <c r="AQ439" s="71"/>
      <c r="AT439" s="211"/>
      <c r="AU439"/>
      <c r="AV439"/>
      <c r="BO439" s="644"/>
      <c r="BP439" s="644"/>
      <c r="BQ439"/>
      <c r="BR439" s="14"/>
    </row>
    <row r="440" spans="33:70" x14ac:dyDescent="0.25">
      <c r="AG440" s="211"/>
      <c r="AH440" s="211"/>
      <c r="AI440" s="218"/>
      <c r="AJ440" s="211"/>
      <c r="AP440" s="71"/>
      <c r="AQ440" s="71"/>
      <c r="AT440" s="211"/>
      <c r="AU440"/>
      <c r="AV440"/>
      <c r="BO440" s="644"/>
      <c r="BP440" s="644"/>
      <c r="BQ440"/>
      <c r="BR440" s="14"/>
    </row>
    <row r="441" spans="33:70" x14ac:dyDescent="0.25">
      <c r="AG441" s="211"/>
      <c r="AH441" s="211"/>
      <c r="AI441" s="218"/>
      <c r="AJ441" s="211"/>
      <c r="AP441" s="71"/>
      <c r="AQ441" s="71"/>
      <c r="AT441" s="211"/>
      <c r="AU441"/>
      <c r="AV441"/>
      <c r="BO441" s="644"/>
      <c r="BP441" s="644"/>
      <c r="BQ441"/>
      <c r="BR441" s="14"/>
    </row>
    <row r="442" spans="33:70" x14ac:dyDescent="0.25">
      <c r="AG442" s="211"/>
      <c r="AH442" s="211"/>
      <c r="AI442" s="218"/>
      <c r="AJ442" s="211"/>
      <c r="AP442" s="71"/>
      <c r="AQ442" s="71"/>
      <c r="AT442" s="211"/>
      <c r="AU442"/>
      <c r="AV442"/>
      <c r="BO442" s="644"/>
      <c r="BP442" s="644"/>
      <c r="BQ442"/>
      <c r="BR442" s="14"/>
    </row>
    <row r="443" spans="33:70" x14ac:dyDescent="0.25">
      <c r="AG443" s="211"/>
      <c r="AH443" s="211"/>
      <c r="AI443" s="218"/>
      <c r="AJ443" s="211"/>
      <c r="AP443" s="71"/>
      <c r="AQ443" s="71"/>
      <c r="AT443" s="211"/>
      <c r="AU443"/>
      <c r="AV443"/>
      <c r="BO443" s="644"/>
      <c r="BP443" s="644"/>
      <c r="BQ443"/>
      <c r="BR443" s="14"/>
    </row>
    <row r="444" spans="33:70" x14ac:dyDescent="0.25">
      <c r="AG444" s="211"/>
      <c r="AH444" s="211"/>
      <c r="AI444" s="218"/>
      <c r="AJ444" s="211"/>
      <c r="AP444" s="71"/>
      <c r="AQ444" s="71"/>
      <c r="AT444" s="211"/>
      <c r="AU444"/>
      <c r="AV444"/>
      <c r="BO444" s="644"/>
      <c r="BP444" s="644"/>
      <c r="BQ444"/>
      <c r="BR444" s="14"/>
    </row>
    <row r="445" spans="33:70" x14ac:dyDescent="0.25">
      <c r="AG445" s="211"/>
      <c r="AH445" s="211"/>
      <c r="AI445" s="218"/>
      <c r="AJ445" s="211"/>
      <c r="AP445" s="71"/>
      <c r="AQ445" s="71"/>
      <c r="AT445" s="211"/>
      <c r="AU445"/>
      <c r="AV445"/>
      <c r="BO445" s="644"/>
      <c r="BP445" s="644"/>
      <c r="BQ445"/>
      <c r="BR445" s="14"/>
    </row>
    <row r="446" spans="33:70" x14ac:dyDescent="0.25">
      <c r="AG446" s="211"/>
      <c r="AH446" s="211"/>
      <c r="AI446" s="218"/>
      <c r="AJ446" s="211"/>
      <c r="AP446" s="71"/>
      <c r="AQ446" s="71"/>
      <c r="AT446" s="211"/>
      <c r="AU446"/>
      <c r="AV446"/>
      <c r="BO446" s="644"/>
      <c r="BP446" s="644"/>
      <c r="BQ446"/>
      <c r="BR446" s="14"/>
    </row>
    <row r="447" spans="33:70" x14ac:dyDescent="0.25">
      <c r="AG447" s="211"/>
      <c r="AH447" s="211"/>
      <c r="AI447" s="218"/>
      <c r="AJ447" s="211"/>
      <c r="AP447" s="71"/>
      <c r="AQ447" s="71"/>
      <c r="AT447" s="211"/>
      <c r="AU447"/>
      <c r="AV447"/>
      <c r="BO447" s="644"/>
      <c r="BP447" s="644"/>
      <c r="BQ447"/>
      <c r="BR447" s="14"/>
    </row>
    <row r="448" spans="33:70" x14ac:dyDescent="0.25">
      <c r="AG448" s="211"/>
      <c r="AH448" s="211"/>
      <c r="AI448" s="218"/>
      <c r="AJ448" s="211"/>
      <c r="AP448" s="71"/>
      <c r="AQ448" s="71"/>
      <c r="AT448" s="211"/>
      <c r="AU448"/>
      <c r="AV448"/>
      <c r="BO448" s="644"/>
      <c r="BP448" s="644"/>
      <c r="BQ448"/>
      <c r="BR448" s="14"/>
    </row>
    <row r="449" spans="33:70" x14ac:dyDescent="0.25">
      <c r="AG449" s="211"/>
      <c r="AH449" s="211"/>
      <c r="AI449" s="218"/>
      <c r="AJ449" s="211"/>
      <c r="AP449" s="71"/>
      <c r="AQ449" s="71"/>
      <c r="AT449" s="211"/>
      <c r="AU449"/>
      <c r="AV449"/>
      <c r="BO449" s="644"/>
      <c r="BP449" s="644"/>
      <c r="BQ449"/>
      <c r="BR449" s="14"/>
    </row>
    <row r="450" spans="33:70" x14ac:dyDescent="0.25">
      <c r="AG450" s="211"/>
      <c r="AH450" s="211"/>
      <c r="AI450" s="218"/>
      <c r="AJ450" s="211"/>
      <c r="AP450" s="71"/>
      <c r="AQ450" s="71"/>
      <c r="AT450" s="211"/>
      <c r="AU450"/>
      <c r="AV450"/>
      <c r="BO450" s="644"/>
      <c r="BP450" s="644"/>
      <c r="BQ450"/>
      <c r="BR450" s="14"/>
    </row>
    <row r="451" spans="33:70" x14ac:dyDescent="0.25">
      <c r="AG451" s="211"/>
      <c r="AH451" s="211"/>
      <c r="AI451" s="218"/>
      <c r="AJ451" s="211"/>
      <c r="AP451" s="71"/>
      <c r="AQ451" s="71"/>
      <c r="AT451" s="211"/>
      <c r="AU451"/>
      <c r="AV451"/>
      <c r="BO451" s="644"/>
      <c r="BP451" s="644"/>
      <c r="BQ451"/>
      <c r="BR451" s="14"/>
    </row>
    <row r="452" spans="33:70" x14ac:dyDescent="0.25">
      <c r="AG452" s="211"/>
      <c r="AH452" s="211"/>
      <c r="AI452" s="218"/>
      <c r="AJ452" s="211"/>
      <c r="AP452" s="71"/>
      <c r="AQ452" s="71"/>
      <c r="AT452" s="211"/>
      <c r="AU452"/>
      <c r="AV452"/>
      <c r="BO452" s="644"/>
      <c r="BP452" s="644"/>
      <c r="BQ452"/>
      <c r="BR452" s="14"/>
    </row>
    <row r="453" spans="33:70" x14ac:dyDescent="0.25">
      <c r="AG453" s="211"/>
      <c r="AH453" s="211"/>
      <c r="AI453" s="218"/>
      <c r="AJ453" s="211"/>
      <c r="AP453" s="71"/>
      <c r="AQ453" s="71"/>
      <c r="AT453" s="211"/>
      <c r="AU453"/>
      <c r="AV453"/>
      <c r="BO453" s="644"/>
      <c r="BP453" s="644"/>
      <c r="BQ453"/>
      <c r="BR453" s="14"/>
    </row>
    <row r="454" spans="33:70" x14ac:dyDescent="0.25">
      <c r="AG454" s="211"/>
      <c r="AH454" s="211"/>
      <c r="AI454" s="218"/>
      <c r="AJ454" s="211"/>
      <c r="AP454" s="71"/>
      <c r="AQ454" s="71"/>
      <c r="AT454" s="211"/>
      <c r="AU454"/>
      <c r="AV454"/>
      <c r="BO454" s="644"/>
      <c r="BP454" s="644"/>
      <c r="BQ454"/>
      <c r="BR454" s="14"/>
    </row>
    <row r="455" spans="33:70" x14ac:dyDescent="0.25">
      <c r="AG455" s="211"/>
      <c r="AH455" s="211"/>
      <c r="AI455" s="218"/>
      <c r="AJ455" s="211"/>
      <c r="AP455" s="71"/>
      <c r="AQ455" s="71"/>
      <c r="AT455" s="211"/>
      <c r="AU455"/>
      <c r="AV455"/>
      <c r="BO455" s="644"/>
      <c r="BP455" s="644"/>
      <c r="BQ455"/>
      <c r="BR455" s="14"/>
    </row>
    <row r="456" spans="33:70" x14ac:dyDescent="0.25">
      <c r="AG456" s="211"/>
      <c r="AH456" s="211"/>
      <c r="AI456" s="218"/>
      <c r="AJ456" s="211"/>
      <c r="AP456" s="71"/>
      <c r="AQ456" s="71"/>
      <c r="AT456" s="211"/>
      <c r="AU456"/>
      <c r="AV456"/>
      <c r="BO456" s="644"/>
      <c r="BP456" s="644"/>
      <c r="BQ456"/>
      <c r="BR456" s="14"/>
    </row>
    <row r="457" spans="33:70" x14ac:dyDescent="0.25">
      <c r="AG457" s="211"/>
      <c r="AH457" s="211"/>
      <c r="AI457" s="218"/>
      <c r="AJ457" s="211"/>
      <c r="AP457" s="71"/>
      <c r="AQ457" s="71"/>
      <c r="AT457" s="211"/>
      <c r="AU457"/>
      <c r="AV457"/>
      <c r="BO457" s="644"/>
      <c r="BP457" s="644"/>
      <c r="BQ457"/>
      <c r="BR457" s="14"/>
    </row>
    <row r="458" spans="33:70" x14ac:dyDescent="0.25">
      <c r="AG458" s="211"/>
      <c r="AH458" s="211"/>
      <c r="AI458" s="218"/>
      <c r="AJ458" s="211"/>
      <c r="AP458" s="71"/>
      <c r="AQ458" s="71"/>
      <c r="AT458" s="211"/>
      <c r="AU458"/>
      <c r="AV458"/>
      <c r="BO458" s="644"/>
      <c r="BP458" s="644"/>
      <c r="BQ458"/>
      <c r="BR458" s="14"/>
    </row>
    <row r="459" spans="33:70" x14ac:dyDescent="0.25">
      <c r="AG459" s="211"/>
      <c r="AH459" s="211"/>
      <c r="AI459" s="218"/>
      <c r="AJ459" s="211"/>
      <c r="AP459" s="71"/>
      <c r="AQ459" s="71"/>
      <c r="AT459" s="211"/>
      <c r="AU459"/>
      <c r="AV459"/>
      <c r="BO459" s="644"/>
      <c r="BP459" s="644"/>
      <c r="BQ459"/>
      <c r="BR459" s="14"/>
    </row>
    <row r="460" spans="33:70" x14ac:dyDescent="0.25">
      <c r="AG460" s="211"/>
      <c r="AH460" s="211"/>
      <c r="AI460" s="218"/>
      <c r="AJ460" s="211"/>
      <c r="AP460" s="71"/>
      <c r="AQ460" s="71"/>
      <c r="AT460" s="211"/>
      <c r="AU460"/>
      <c r="AV460"/>
      <c r="BO460" s="644"/>
      <c r="BP460" s="644"/>
      <c r="BQ460"/>
      <c r="BR460" s="14"/>
    </row>
    <row r="461" spans="33:70" x14ac:dyDescent="0.25">
      <c r="AG461" s="211"/>
      <c r="AH461" s="211"/>
      <c r="AI461" s="218"/>
      <c r="AJ461" s="211"/>
      <c r="AP461" s="71"/>
      <c r="AQ461" s="71"/>
      <c r="AT461" s="211"/>
      <c r="AU461"/>
      <c r="AV461"/>
      <c r="BO461" s="644"/>
      <c r="BP461" s="644"/>
      <c r="BQ461"/>
      <c r="BR461" s="14"/>
    </row>
    <row r="462" spans="33:70" x14ac:dyDescent="0.25">
      <c r="AG462" s="211"/>
      <c r="AH462" s="211"/>
      <c r="AI462" s="218"/>
      <c r="AJ462" s="211"/>
      <c r="AP462" s="71"/>
      <c r="AQ462" s="71"/>
      <c r="AT462" s="211"/>
      <c r="AU462"/>
      <c r="AV462"/>
      <c r="BO462" s="644"/>
      <c r="BP462" s="644"/>
      <c r="BQ462"/>
      <c r="BR462" s="14"/>
    </row>
    <row r="463" spans="33:70" x14ac:dyDescent="0.25">
      <c r="AG463" s="211"/>
      <c r="AH463" s="211"/>
      <c r="AI463" s="218"/>
      <c r="AJ463" s="211"/>
      <c r="AP463" s="71"/>
      <c r="AQ463" s="71"/>
      <c r="AT463" s="211"/>
      <c r="AU463"/>
      <c r="AV463"/>
      <c r="BO463" s="644"/>
      <c r="BP463" s="644"/>
      <c r="BQ463"/>
      <c r="BR463" s="14"/>
    </row>
    <row r="464" spans="33:70" x14ac:dyDescent="0.25">
      <c r="AG464" s="211"/>
      <c r="AH464" s="211"/>
      <c r="AI464" s="218"/>
      <c r="AJ464" s="211"/>
      <c r="AP464" s="71"/>
      <c r="AQ464" s="71"/>
      <c r="AT464" s="211"/>
      <c r="AU464"/>
      <c r="AV464"/>
      <c r="BO464" s="644"/>
      <c r="BP464" s="644"/>
      <c r="BQ464"/>
      <c r="BR464" s="14"/>
    </row>
    <row r="465" spans="33:70" x14ac:dyDescent="0.25">
      <c r="AG465" s="211"/>
      <c r="AH465" s="211"/>
      <c r="AI465" s="218"/>
      <c r="AJ465" s="211"/>
      <c r="AP465" s="71"/>
      <c r="AQ465" s="71"/>
      <c r="AT465" s="211"/>
      <c r="AU465"/>
      <c r="AV465"/>
      <c r="BO465" s="644"/>
      <c r="BP465" s="644"/>
      <c r="BQ465"/>
      <c r="BR465" s="14"/>
    </row>
    <row r="466" spans="33:70" x14ac:dyDescent="0.25">
      <c r="AG466" s="211"/>
      <c r="AH466" s="211"/>
      <c r="AI466" s="218"/>
      <c r="AJ466" s="211"/>
      <c r="AP466" s="71"/>
      <c r="AQ466" s="71"/>
      <c r="AT466" s="211"/>
      <c r="AU466"/>
      <c r="AV466"/>
      <c r="BO466" s="644"/>
      <c r="BP466" s="644"/>
      <c r="BQ466"/>
      <c r="BR466" s="14"/>
    </row>
    <row r="467" spans="33:70" x14ac:dyDescent="0.25">
      <c r="AG467" s="211"/>
      <c r="AH467" s="211"/>
      <c r="AI467" s="218"/>
      <c r="AJ467" s="211"/>
      <c r="AP467" s="71"/>
      <c r="AQ467" s="71"/>
      <c r="AT467" s="233"/>
      <c r="AU467" s="408"/>
      <c r="AV467" s="408"/>
      <c r="BO467" s="644"/>
      <c r="BP467" s="644"/>
      <c r="BQ467"/>
      <c r="BR467" s="14"/>
    </row>
    <row r="468" spans="33:70" x14ac:dyDescent="0.25">
      <c r="AG468" s="211"/>
      <c r="AH468" s="211"/>
      <c r="AI468" s="218"/>
      <c r="AJ468" s="211"/>
      <c r="AP468" s="71"/>
      <c r="AQ468" s="71"/>
      <c r="BO468" s="644"/>
      <c r="BP468" s="644"/>
      <c r="BQ468"/>
      <c r="BR468" s="14"/>
    </row>
    <row r="469" spans="33:70" x14ac:dyDescent="0.25">
      <c r="AG469" s="211"/>
      <c r="AH469" s="211"/>
      <c r="AI469" s="218"/>
      <c r="AJ469" s="211"/>
      <c r="AP469" s="71"/>
      <c r="AQ469" s="71"/>
      <c r="BO469" s="644"/>
      <c r="BP469" s="644"/>
      <c r="BQ469"/>
      <c r="BR469" s="14"/>
    </row>
    <row r="470" spans="33:70" x14ac:dyDescent="0.25">
      <c r="AG470" s="211"/>
      <c r="AH470" s="211"/>
      <c r="AI470" s="218"/>
      <c r="AJ470" s="211"/>
      <c r="AP470" s="71"/>
      <c r="AQ470" s="71"/>
      <c r="BO470" s="644"/>
      <c r="BP470" s="644"/>
      <c r="BQ470"/>
      <c r="BR470" s="14"/>
    </row>
    <row r="471" spans="33:70" x14ac:dyDescent="0.25">
      <c r="AG471" s="211"/>
      <c r="AH471" s="211"/>
      <c r="AI471" s="218"/>
      <c r="AJ471" s="211"/>
      <c r="AP471" s="71"/>
      <c r="AQ471" s="71"/>
      <c r="BO471" s="644"/>
      <c r="BP471" s="644"/>
      <c r="BQ471"/>
      <c r="BR471" s="14"/>
    </row>
    <row r="472" spans="33:70" x14ac:dyDescent="0.25">
      <c r="AG472" s="211"/>
      <c r="AH472" s="211"/>
      <c r="AI472" s="218"/>
      <c r="AJ472" s="211"/>
      <c r="AP472" s="71"/>
      <c r="AQ472" s="71"/>
      <c r="BO472" s="644"/>
      <c r="BP472" s="644"/>
      <c r="BQ472"/>
      <c r="BR472" s="14"/>
    </row>
    <row r="473" spans="33:70" x14ac:dyDescent="0.25">
      <c r="AG473" s="211"/>
      <c r="AH473" s="211"/>
      <c r="AI473" s="218"/>
      <c r="AJ473" s="211"/>
      <c r="AP473" s="233"/>
      <c r="AQ473" s="233"/>
      <c r="BO473" s="644"/>
      <c r="BP473" s="644"/>
      <c r="BQ473"/>
      <c r="BR473" s="14"/>
    </row>
    <row r="474" spans="33:70" x14ac:dyDescent="0.25">
      <c r="AG474" s="211"/>
      <c r="AH474" s="211"/>
      <c r="AI474" s="218"/>
      <c r="AJ474" s="211"/>
      <c r="BO474" s="644"/>
      <c r="BP474" s="644"/>
      <c r="BQ474"/>
      <c r="BR474" s="14"/>
    </row>
    <row r="475" spans="33:70" x14ac:dyDescent="0.25">
      <c r="AG475" s="211"/>
      <c r="AH475" s="211"/>
      <c r="AI475" s="218"/>
      <c r="AJ475" s="211"/>
      <c r="BO475" s="644"/>
      <c r="BP475" s="644"/>
      <c r="BQ475"/>
      <c r="BR475" s="14"/>
    </row>
    <row r="476" spans="33:70" x14ac:dyDescent="0.25">
      <c r="AG476" s="211"/>
      <c r="AH476" s="211"/>
      <c r="AI476" s="218"/>
      <c r="AJ476" s="211"/>
      <c r="BO476" s="644"/>
      <c r="BP476" s="644"/>
      <c r="BQ476"/>
      <c r="BR476" s="14"/>
    </row>
    <row r="477" spans="33:70" x14ac:dyDescent="0.25">
      <c r="AG477" s="211"/>
      <c r="AH477" s="211"/>
      <c r="AI477" s="218"/>
      <c r="AJ477" s="211"/>
      <c r="BO477" s="644"/>
      <c r="BP477" s="644"/>
      <c r="BQ477"/>
      <c r="BR477" s="14"/>
    </row>
    <row r="478" spans="33:70" x14ac:dyDescent="0.25">
      <c r="AG478" s="211"/>
      <c r="AH478" s="211"/>
      <c r="AI478" s="218"/>
      <c r="AJ478" s="211"/>
      <c r="BO478" s="644"/>
      <c r="BP478" s="644"/>
      <c r="BQ478"/>
      <c r="BR478" s="14"/>
    </row>
    <row r="479" spans="33:70" x14ac:dyDescent="0.25">
      <c r="AG479" s="211"/>
      <c r="AH479" s="211"/>
      <c r="AI479" s="218"/>
      <c r="AJ479" s="211"/>
      <c r="BO479" s="644"/>
      <c r="BP479" s="644"/>
      <c r="BQ479"/>
      <c r="BR479" s="14"/>
    </row>
    <row r="480" spans="33:70" x14ac:dyDescent="0.25">
      <c r="AG480" s="211"/>
      <c r="AH480" s="211"/>
      <c r="AI480" s="218"/>
      <c r="AJ480" s="211"/>
      <c r="BO480" s="644"/>
      <c r="BP480" s="644"/>
      <c r="BQ480"/>
      <c r="BR480" s="14"/>
    </row>
    <row r="481" spans="33:70" x14ac:dyDescent="0.25">
      <c r="AG481" s="211"/>
      <c r="AH481" s="211"/>
      <c r="AI481" s="218"/>
      <c r="AJ481" s="211"/>
      <c r="BO481" s="644"/>
      <c r="BP481" s="644"/>
      <c r="BQ481"/>
      <c r="BR481" s="14"/>
    </row>
    <row r="482" spans="33:70" x14ac:dyDescent="0.25">
      <c r="AI482" s="220"/>
    </row>
  </sheetData>
  <autoFilter ref="A1:Y108" xr:uid="{00000000-0009-0000-0000-000007000000}"/>
  <phoneticPr fontId="48" type="noConversion"/>
  <pageMargins left="0.70866141732283472" right="0.70866141732283472" top="0.74803149606299213" bottom="0.74803149606299213" header="0.31496062992125984" footer="0.31496062992125984"/>
  <pageSetup paperSize="9" scale="11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CL205"/>
  <sheetViews>
    <sheetView zoomScale="110" zoomScaleNormal="110" workbookViewId="0">
      <pane xSplit="2" ySplit="1" topLeftCell="BS2" activePane="bottomRight" state="frozen"/>
      <selection activeCell="AD101" sqref="AD101"/>
      <selection pane="topRight" activeCell="AD101" sqref="AD101"/>
      <selection pane="bottomLeft" activeCell="AD101" sqref="AD101"/>
      <selection pane="bottomRight" activeCell="BW94" sqref="BW94"/>
    </sheetView>
  </sheetViews>
  <sheetFormatPr defaultRowHeight="15" x14ac:dyDescent="0.25"/>
  <cols>
    <col min="1" max="1" width="7.42578125" customWidth="1"/>
    <col min="2" max="2" width="64.28515625" style="1" customWidth="1"/>
    <col min="3" max="21" width="19.7109375" style="1" customWidth="1"/>
    <col min="22" max="23" width="19.7109375" customWidth="1"/>
    <col min="24" max="24" width="19.7109375" style="120" customWidth="1"/>
    <col min="25" max="26" width="19.7109375" style="1" customWidth="1"/>
    <col min="27" max="27" width="19.7109375" style="166" customWidth="1"/>
    <col min="28" max="29" width="19.7109375" style="1" customWidth="1"/>
    <col min="30" max="34" width="19.7109375" style="55" customWidth="1"/>
    <col min="35" max="37" width="19.7109375" style="230" customWidth="1"/>
    <col min="38" max="39" width="19.7109375" style="55" customWidth="1"/>
    <col min="40" max="41" width="19.7109375" style="71" customWidth="1"/>
    <col min="42" max="42" width="19.7109375" style="14" customWidth="1"/>
    <col min="43" max="43" width="19.7109375" style="65" customWidth="1"/>
    <col min="44" max="44" width="19.7109375" style="54" customWidth="1"/>
    <col min="45" max="45" width="19.7109375" style="415" customWidth="1"/>
    <col min="46" max="48" width="19.7109375" style="1" customWidth="1"/>
    <col min="49" max="50" width="19.7109375" style="14" customWidth="1"/>
    <col min="51" max="53" width="19.7109375" customWidth="1"/>
    <col min="54" max="54" width="19.7109375" style="506" customWidth="1"/>
    <col min="55" max="56" width="19.7109375" style="501" customWidth="1"/>
    <col min="57" max="57" width="19.7109375" style="506" customWidth="1"/>
    <col min="58" max="58" width="19.7109375" style="1" customWidth="1"/>
    <col min="59" max="59" width="19.7109375" customWidth="1"/>
    <col min="60" max="63" width="19.7109375" style="14" customWidth="1"/>
    <col min="64" max="64" width="19.7109375" customWidth="1"/>
    <col min="65" max="70" width="19.7109375" style="1" customWidth="1"/>
    <col min="71" max="72" width="19.7109375" customWidth="1"/>
    <col min="73" max="73" width="15.7109375" style="1" customWidth="1"/>
    <col min="74" max="74" width="17.28515625" style="729" customWidth="1"/>
    <col min="75" max="75" width="13.5703125" style="754" customWidth="1"/>
  </cols>
  <sheetData>
    <row r="1" spans="1:89" ht="45" x14ac:dyDescent="0.25">
      <c r="A1" s="54"/>
      <c r="B1" s="55" t="s">
        <v>322</v>
      </c>
      <c r="C1" s="55" t="s">
        <v>0</v>
      </c>
      <c r="D1" s="55" t="s">
        <v>1</v>
      </c>
      <c r="E1" s="55" t="s">
        <v>6</v>
      </c>
      <c r="F1" s="55" t="s">
        <v>193</v>
      </c>
      <c r="G1" s="57" t="s">
        <v>225</v>
      </c>
      <c r="H1" s="55" t="s">
        <v>224</v>
      </c>
      <c r="I1" s="55" t="s">
        <v>313</v>
      </c>
      <c r="J1" s="55" t="s">
        <v>311</v>
      </c>
      <c r="K1" s="55" t="s">
        <v>312</v>
      </c>
      <c r="L1" s="55" t="s">
        <v>317</v>
      </c>
      <c r="O1" s="55" t="s">
        <v>324</v>
      </c>
      <c r="P1" s="55" t="s">
        <v>325</v>
      </c>
      <c r="Q1" s="55" t="s">
        <v>343</v>
      </c>
      <c r="R1" s="65" t="s">
        <v>346</v>
      </c>
      <c r="S1" s="65" t="s">
        <v>379</v>
      </c>
      <c r="T1" s="65" t="s">
        <v>378</v>
      </c>
      <c r="U1" s="65" t="s">
        <v>377</v>
      </c>
      <c r="V1" s="60" t="s">
        <v>399</v>
      </c>
      <c r="W1" s="60" t="s">
        <v>400</v>
      </c>
      <c r="X1" s="121" t="s">
        <v>401</v>
      </c>
      <c r="Z1" s="156" t="s">
        <v>407</v>
      </c>
      <c r="AA1" s="170" t="s">
        <v>425</v>
      </c>
      <c r="AB1" s="55" t="s">
        <v>438</v>
      </c>
      <c r="AC1" s="223" t="s">
        <v>439</v>
      </c>
      <c r="AD1" s="224" t="s">
        <v>471</v>
      </c>
      <c r="AE1" s="225" t="s">
        <v>470</v>
      </c>
      <c r="AF1" s="225" t="s">
        <v>478</v>
      </c>
      <c r="AG1" s="224" t="s">
        <v>480</v>
      </c>
      <c r="AH1" s="224" t="s">
        <v>484</v>
      </c>
      <c r="AI1" s="229" t="s">
        <v>485</v>
      </c>
      <c r="AJ1" s="229"/>
      <c r="AK1" s="229" t="s">
        <v>535</v>
      </c>
      <c r="AL1" s="224"/>
      <c r="AM1" s="236" t="s">
        <v>545</v>
      </c>
      <c r="AN1" s="248"/>
      <c r="AO1" s="248"/>
      <c r="AP1" s="404" t="s">
        <v>558</v>
      </c>
      <c r="AQ1" s="407" t="s">
        <v>557</v>
      </c>
      <c r="AR1" s="402" t="s">
        <v>565</v>
      </c>
      <c r="AS1" s="414" t="s">
        <v>561</v>
      </c>
      <c r="AT1" s="427" t="s">
        <v>566</v>
      </c>
      <c r="AU1" s="427" t="s">
        <v>568</v>
      </c>
      <c r="AV1" s="427" t="s">
        <v>569</v>
      </c>
      <c r="AW1" s="431" t="s">
        <v>567</v>
      </c>
      <c r="AX1" s="466" t="s">
        <v>570</v>
      </c>
      <c r="AY1" s="427" t="s">
        <v>592</v>
      </c>
      <c r="AZ1" s="427" t="s">
        <v>598</v>
      </c>
      <c r="BA1" s="427" t="s">
        <v>599</v>
      </c>
      <c r="BB1" s="504" t="s">
        <v>608</v>
      </c>
      <c r="BC1" s="500" t="s">
        <v>606</v>
      </c>
      <c r="BD1" s="500" t="s">
        <v>607</v>
      </c>
      <c r="BE1" s="500" t="s">
        <v>609</v>
      </c>
      <c r="BF1" s="512" t="s">
        <v>611</v>
      </c>
      <c r="BG1" s="516" t="s">
        <v>614</v>
      </c>
      <c r="BH1" s="572" t="s">
        <v>619</v>
      </c>
      <c r="BI1" s="500" t="s">
        <v>647</v>
      </c>
      <c r="BJ1" s="402" t="s">
        <v>641</v>
      </c>
      <c r="BK1" s="570" t="s">
        <v>654</v>
      </c>
      <c r="BL1" s="603" t="s">
        <v>653</v>
      </c>
      <c r="BM1" s="629" t="s">
        <v>689</v>
      </c>
      <c r="BN1" s="645" t="s">
        <v>706</v>
      </c>
      <c r="BO1" s="638" t="s">
        <v>697</v>
      </c>
      <c r="BP1" s="638" t="s">
        <v>699</v>
      </c>
      <c r="BQ1" s="638" t="s">
        <v>698</v>
      </c>
      <c r="BR1" s="660" t="s">
        <v>716</v>
      </c>
      <c r="BS1" s="660" t="s">
        <v>724</v>
      </c>
      <c r="BT1" s="724" t="s">
        <v>728</v>
      </c>
      <c r="BU1" s="859" t="s">
        <v>733</v>
      </c>
      <c r="BV1" s="861" t="s">
        <v>767</v>
      </c>
    </row>
    <row r="2" spans="1:89" x14ac:dyDescent="0.25">
      <c r="A2" s="54" t="s">
        <v>8</v>
      </c>
      <c r="B2" s="55" t="s">
        <v>175</v>
      </c>
      <c r="C2" s="55">
        <v>62470278</v>
      </c>
      <c r="D2" s="55">
        <v>99366791</v>
      </c>
      <c r="E2" s="55">
        <v>65562934</v>
      </c>
      <c r="F2" s="55">
        <v>56145638</v>
      </c>
      <c r="G2" s="55">
        <v>65635705</v>
      </c>
      <c r="H2" s="55">
        <v>61390673</v>
      </c>
      <c r="I2" s="55">
        <f>H2/11+H2</f>
        <v>66971643.272727273</v>
      </c>
      <c r="J2" s="55">
        <v>71697479</v>
      </c>
      <c r="K2" s="55">
        <v>71697479</v>
      </c>
      <c r="L2" s="55">
        <v>71697479</v>
      </c>
      <c r="M2" s="1">
        <f>IF(I2&lt;&gt;0,L2/I2*100,0)</f>
        <v>107.05647270446659</v>
      </c>
      <c r="O2" s="55">
        <v>71738105</v>
      </c>
      <c r="P2" s="55">
        <v>54530707</v>
      </c>
      <c r="Q2" s="55">
        <v>60266505</v>
      </c>
      <c r="R2" s="55">
        <f>'központi támogatások'!M2:M11</f>
        <v>69100012</v>
      </c>
      <c r="S2" s="55">
        <v>71738105</v>
      </c>
      <c r="T2" s="55">
        <v>71738105</v>
      </c>
      <c r="U2" s="55">
        <f>R2</f>
        <v>69100012</v>
      </c>
      <c r="V2" s="69">
        <f>U2</f>
        <v>69100012</v>
      </c>
      <c r="W2" s="69">
        <f>U2</f>
        <v>69100012</v>
      </c>
      <c r="X2" s="122">
        <f>T2/V2*100</f>
        <v>103.81778949618707</v>
      </c>
      <c r="Z2" s="140">
        <f>W2/T2</f>
        <v>0.96322605677972672</v>
      </c>
      <c r="AA2" s="171">
        <v>69246556</v>
      </c>
      <c r="AB2" s="55">
        <v>36105001</v>
      </c>
      <c r="AC2" s="223">
        <v>48177720</v>
      </c>
      <c r="AD2" s="55">
        <v>53722614</v>
      </c>
      <c r="AE2" s="122">
        <f>AD2/AA2*100</f>
        <v>77.581640305692602</v>
      </c>
      <c r="AF2" s="55">
        <v>70341792</v>
      </c>
      <c r="AG2" s="322">
        <v>59267508</v>
      </c>
      <c r="AH2" s="55">
        <f>AG2/10*12</f>
        <v>71121009.599999994</v>
      </c>
      <c r="AI2" s="230">
        <f>AH2*1.02</f>
        <v>72543429.791999996</v>
      </c>
      <c r="AK2" s="288">
        <f>SUM('központi támogatások'!W2:W11)</f>
        <v>100657543</v>
      </c>
      <c r="AL2" s="55">
        <v>245127372</v>
      </c>
      <c r="AM2" s="55">
        <v>70357302</v>
      </c>
      <c r="AN2" s="223"/>
      <c r="AO2" s="223"/>
      <c r="AP2" s="222">
        <v>100657543</v>
      </c>
      <c r="AQ2" s="65">
        <v>91139194</v>
      </c>
      <c r="AR2" s="69">
        <f>AP2-AQ2</f>
        <v>9518349</v>
      </c>
      <c r="AS2" s="415">
        <f>AQ2/AP2*100</f>
        <v>90.543829387927744</v>
      </c>
      <c r="AT2" s="55">
        <v>88854190</v>
      </c>
      <c r="AU2" s="55">
        <f>AP2-AT2</f>
        <v>11803353</v>
      </c>
      <c r="AV2" s="55">
        <f>AU2/AP2*100</f>
        <v>11.726247877916114</v>
      </c>
      <c r="AW2" s="222">
        <v>105506545</v>
      </c>
      <c r="AX2" s="222">
        <v>105506545</v>
      </c>
      <c r="AY2" s="69">
        <f>AX2</f>
        <v>105506545</v>
      </c>
      <c r="AZ2" s="69">
        <f>AY2</f>
        <v>105506545</v>
      </c>
      <c r="BA2" s="69">
        <f>AZ2</f>
        <v>105506545</v>
      </c>
      <c r="BB2" s="501">
        <v>104898829</v>
      </c>
      <c r="BC2" s="501">
        <v>106220459</v>
      </c>
      <c r="BD2" s="501">
        <v>63732270</v>
      </c>
      <c r="BE2" s="501">
        <v>80727542</v>
      </c>
      <c r="BF2" s="221">
        <v>89225178</v>
      </c>
      <c r="BG2" s="517">
        <f>BF2/10*12</f>
        <v>107070213.60000001</v>
      </c>
      <c r="BH2" s="222">
        <v>113622480</v>
      </c>
      <c r="BI2" s="65">
        <v>113622480</v>
      </c>
      <c r="BJ2" s="65">
        <v>57206486</v>
      </c>
      <c r="BK2" s="65">
        <v>92410478</v>
      </c>
      <c r="BL2" s="69">
        <v>114630691</v>
      </c>
      <c r="BM2" s="501">
        <v>163950691</v>
      </c>
      <c r="BN2" s="501">
        <v>163950691</v>
      </c>
      <c r="BO2" s="501">
        <v>139973682</v>
      </c>
      <c r="BP2" s="501">
        <f>BN2</f>
        <v>163950691</v>
      </c>
      <c r="BQ2" s="569">
        <f>BP2*1.05</f>
        <v>172148225.55000001</v>
      </c>
      <c r="BR2" s="501">
        <v>172148226</v>
      </c>
      <c r="BS2" s="245">
        <v>150715736</v>
      </c>
      <c r="BT2" s="245">
        <v>150715736</v>
      </c>
      <c r="BU2" s="770">
        <v>149441829</v>
      </c>
      <c r="BV2" s="347">
        <v>150292500</v>
      </c>
    </row>
    <row r="3" spans="1:89" x14ac:dyDescent="0.25">
      <c r="A3" s="54" t="s">
        <v>9</v>
      </c>
      <c r="B3" s="55" t="s">
        <v>176</v>
      </c>
      <c r="C3" s="55">
        <v>58030410</v>
      </c>
      <c r="D3" s="55">
        <v>53864670</v>
      </c>
      <c r="E3" s="55">
        <v>64406900</v>
      </c>
      <c r="F3" s="55">
        <v>55090776</v>
      </c>
      <c r="G3" s="55">
        <v>66145456</v>
      </c>
      <c r="H3" s="55">
        <v>60113282</v>
      </c>
      <c r="I3" s="55">
        <f t="shared" ref="I3:I77" si="0">H3/11+H3</f>
        <v>65578125.81818182</v>
      </c>
      <c r="J3" s="55">
        <v>64212867</v>
      </c>
      <c r="K3" s="55">
        <v>64212867</v>
      </c>
      <c r="L3" s="55">
        <v>64212867</v>
      </c>
      <c r="M3" s="1">
        <f t="shared" ref="M3:M77" si="1">IF(I3&lt;&gt;0,L3/I3*100,0)</f>
        <v>97.918118578187091</v>
      </c>
      <c r="O3" s="55">
        <v>64613867</v>
      </c>
      <c r="P3" s="55">
        <v>49438917</v>
      </c>
      <c r="Q3" s="55">
        <v>54497234</v>
      </c>
      <c r="R3" s="55">
        <f>'központi támogatások'!L13+'központi támogatások'!L14+'központi támogatások'!L15+'központi támogatások'!L16+'központi támogatások'!L17+'központi támogatások'!L18</f>
        <v>57797100</v>
      </c>
      <c r="S3" s="55">
        <v>64613867</v>
      </c>
      <c r="T3" s="55">
        <v>61005667</v>
      </c>
      <c r="U3" s="55">
        <f t="shared" ref="U3:U38" si="2">R3</f>
        <v>57797100</v>
      </c>
      <c r="V3" s="69">
        <f t="shared" ref="V3:V76" si="3">U3</f>
        <v>57797100</v>
      </c>
      <c r="W3" s="69">
        <f t="shared" ref="W3:W76" si="4">U3</f>
        <v>57797100</v>
      </c>
      <c r="X3" s="122">
        <f t="shared" ref="X3:X76" si="5">T3/V3*100</f>
        <v>105.55143251131977</v>
      </c>
      <c r="Z3" s="140">
        <f t="shared" ref="Z3:Z76" si="6">W3/T3</f>
        <v>0.94740542710564901</v>
      </c>
      <c r="AA3" s="171">
        <f>57797100</f>
        <v>57797100</v>
      </c>
      <c r="AB3" s="55">
        <v>29263639</v>
      </c>
      <c r="AC3" s="223">
        <v>39506403</v>
      </c>
      <c r="AD3" s="55">
        <v>44322828</v>
      </c>
      <c r="AE3" s="122">
        <f t="shared" ref="AE3:AE72" si="7">AD3/AA3*100</f>
        <v>76.686941040294414</v>
      </c>
      <c r="AF3" s="55">
        <v>58772100</v>
      </c>
      <c r="AG3" s="322">
        <v>49139253</v>
      </c>
      <c r="AH3" s="55">
        <f t="shared" ref="AH3:AH33" si="8">AG3/10*12</f>
        <v>58967103.599999994</v>
      </c>
      <c r="AI3" s="230">
        <f t="shared" ref="AI3:AI55" si="9">AH3*1.02</f>
        <v>60146445.671999998</v>
      </c>
      <c r="AK3" s="288">
        <f>SUM('központi támogatások'!W13:W18)</f>
        <v>64073150</v>
      </c>
      <c r="AM3" s="55">
        <v>60441617</v>
      </c>
      <c r="AN3" s="223"/>
      <c r="AO3" s="223"/>
      <c r="AP3" s="222">
        <v>64073150</v>
      </c>
      <c r="AQ3" s="65">
        <v>48914168</v>
      </c>
      <c r="AR3" s="69">
        <f t="shared" ref="AR3:AR71" si="10">AP3-AQ3</f>
        <v>15158982</v>
      </c>
      <c r="AS3" s="415">
        <f t="shared" ref="AS3:AS70" si="11">AQ3/AP3*100</f>
        <v>76.341131971816594</v>
      </c>
      <c r="AT3" s="55">
        <v>58185358</v>
      </c>
      <c r="AU3" s="55">
        <f t="shared" ref="AU3:AU70" si="12">AP3-AT3</f>
        <v>5887792</v>
      </c>
      <c r="AV3" s="55">
        <f t="shared" ref="AV3:AV70" si="13">AU3/AP3*100</f>
        <v>9.1891720634930554</v>
      </c>
      <c r="AW3" s="222">
        <v>78073720</v>
      </c>
      <c r="AX3" s="222">
        <v>78073720</v>
      </c>
      <c r="AY3" s="69">
        <f t="shared" ref="AY3:AY37" si="14">AX3</f>
        <v>78073720</v>
      </c>
      <c r="AZ3" s="69">
        <f t="shared" ref="AZ3:BA70" si="15">AY3</f>
        <v>78073720</v>
      </c>
      <c r="BA3" s="69">
        <f t="shared" si="15"/>
        <v>78073720</v>
      </c>
      <c r="BB3" s="501">
        <v>73806400</v>
      </c>
      <c r="BC3" s="501">
        <v>76399900</v>
      </c>
      <c r="BD3" s="501">
        <v>45563440</v>
      </c>
      <c r="BE3" s="501">
        <v>57234424</v>
      </c>
      <c r="BF3" s="221">
        <v>63069916</v>
      </c>
      <c r="BG3" s="517">
        <f t="shared" ref="BG3:BG70" si="16">BF3/10*12</f>
        <v>75683899.199999988</v>
      </c>
      <c r="BH3" s="222">
        <v>83510780</v>
      </c>
      <c r="BI3" s="65">
        <v>83510780</v>
      </c>
      <c r="BJ3" s="65">
        <v>43429764</v>
      </c>
      <c r="BK3" s="65">
        <v>70155772</v>
      </c>
      <c r="BL3" s="69">
        <v>91373520</v>
      </c>
      <c r="BM3" s="501">
        <v>119743520</v>
      </c>
      <c r="BN3" s="501">
        <v>119743520</v>
      </c>
      <c r="BO3" s="501">
        <v>115972471</v>
      </c>
      <c r="BP3" s="501">
        <f t="shared" ref="BP3:BP5" si="17">BN3</f>
        <v>119743520</v>
      </c>
      <c r="BQ3" s="569">
        <f t="shared" ref="BQ3:BQ6" si="18">BP3*1.05</f>
        <v>125730696</v>
      </c>
      <c r="BR3" s="501">
        <v>125730696</v>
      </c>
      <c r="BS3" s="245">
        <v>141805504</v>
      </c>
      <c r="BT3" s="245">
        <v>141805504</v>
      </c>
      <c r="BU3" s="770">
        <v>182485562</v>
      </c>
      <c r="BV3" s="347">
        <v>182451008</v>
      </c>
    </row>
    <row r="4" spans="1:89" x14ac:dyDescent="0.25">
      <c r="A4" s="54" t="s">
        <v>584</v>
      </c>
      <c r="B4" s="65" t="s">
        <v>587</v>
      </c>
      <c r="C4" s="65">
        <v>62323977</v>
      </c>
      <c r="D4" s="65">
        <v>59561892</v>
      </c>
      <c r="E4" s="65">
        <v>67735094</v>
      </c>
      <c r="F4" s="65">
        <v>67925614</v>
      </c>
      <c r="G4" s="65">
        <v>68849370</v>
      </c>
      <c r="H4" s="65">
        <v>74401031</v>
      </c>
      <c r="I4" s="65">
        <f t="shared" si="0"/>
        <v>81164761.090909094</v>
      </c>
      <c r="J4" s="65">
        <v>66636770</v>
      </c>
      <c r="K4" s="65">
        <v>81636770</v>
      </c>
      <c r="L4" s="65">
        <f>66636770+15000000</f>
        <v>81636770</v>
      </c>
      <c r="M4" s="14">
        <f t="shared" si="1"/>
        <v>100.58154413657698</v>
      </c>
      <c r="N4" s="14"/>
      <c r="O4" s="65">
        <v>79992483</v>
      </c>
      <c r="P4" s="65">
        <v>59000197</v>
      </c>
      <c r="Q4" s="65">
        <v>65213794</v>
      </c>
      <c r="R4" s="65">
        <f>'központi támogatások'!L19+'központi támogatások'!L20+'központi támogatások'!L21+'központi támogatások'!L22+'központi támogatások'!L23+'központi támogatások'!L25+'központi támogatások'!L26+'központi támogatások'!L27</f>
        <v>70880660</v>
      </c>
      <c r="S4" s="65">
        <v>77587767</v>
      </c>
      <c r="T4" s="65">
        <v>76267408</v>
      </c>
      <c r="U4" s="65">
        <f t="shared" si="2"/>
        <v>70880660</v>
      </c>
      <c r="V4" s="69">
        <f t="shared" si="3"/>
        <v>70880660</v>
      </c>
      <c r="W4" s="69">
        <f t="shared" si="4"/>
        <v>70880660</v>
      </c>
      <c r="X4" s="121">
        <f t="shared" si="5"/>
        <v>107.59974300465036</v>
      </c>
      <c r="Y4" s="14"/>
      <c r="Z4" s="226">
        <f t="shared" si="6"/>
        <v>0.92937024947799463</v>
      </c>
      <c r="AA4" s="227">
        <v>76867772</v>
      </c>
      <c r="AB4" s="65">
        <v>40279158</v>
      </c>
      <c r="AC4" s="222">
        <v>54464182</v>
      </c>
      <c r="AD4" s="65">
        <v>60699420</v>
      </c>
      <c r="AE4" s="121">
        <f t="shared" si="7"/>
        <v>78.966019725405857</v>
      </c>
      <c r="AF4" s="65">
        <v>79254874</v>
      </c>
      <c r="AG4" s="65">
        <v>66934659</v>
      </c>
      <c r="AH4" s="65">
        <f t="shared" si="8"/>
        <v>80321590.800000012</v>
      </c>
      <c r="AI4" s="65">
        <f t="shared" si="9"/>
        <v>81928022.616000012</v>
      </c>
      <c r="AJ4" s="65"/>
      <c r="AK4" s="65">
        <v>76920150</v>
      </c>
      <c r="AL4" s="65"/>
      <c r="AM4" s="65">
        <v>78789345</v>
      </c>
      <c r="AN4" s="222"/>
      <c r="AO4" s="222"/>
      <c r="AP4" s="222">
        <v>76920150</v>
      </c>
      <c r="AQ4" s="65">
        <v>58207961</v>
      </c>
      <c r="AR4" s="69">
        <f t="shared" si="10"/>
        <v>18712189</v>
      </c>
      <c r="AS4" s="415">
        <f t="shared" si="11"/>
        <v>75.673228666350752</v>
      </c>
      <c r="AT4" s="65">
        <v>65700187</v>
      </c>
      <c r="AU4" s="65">
        <f t="shared" si="12"/>
        <v>11219963</v>
      </c>
      <c r="AV4" s="65">
        <f t="shared" si="13"/>
        <v>14.586506916588176</v>
      </c>
      <c r="AW4" s="222">
        <v>35777578</v>
      </c>
      <c r="AX4" s="222">
        <v>35777578</v>
      </c>
      <c r="AY4" s="69">
        <f t="shared" si="14"/>
        <v>35777578</v>
      </c>
      <c r="AZ4" s="69">
        <f>AY4+10000000</f>
        <v>45777578</v>
      </c>
      <c r="BA4" s="69">
        <f t="shared" si="15"/>
        <v>45777578</v>
      </c>
      <c r="BB4" s="501">
        <v>33779520</v>
      </c>
      <c r="BC4" s="501">
        <v>34222203</v>
      </c>
      <c r="BD4" s="501">
        <v>24657588</v>
      </c>
      <c r="BE4" s="501">
        <v>37995483</v>
      </c>
      <c r="BF4" s="221">
        <v>44664955</v>
      </c>
      <c r="BG4" s="517">
        <f t="shared" si="16"/>
        <v>53597946</v>
      </c>
      <c r="BH4" s="222">
        <v>61191374</v>
      </c>
      <c r="BI4" s="65">
        <v>61191374</v>
      </c>
      <c r="BJ4" s="65">
        <v>32283725</v>
      </c>
      <c r="BK4" s="65">
        <v>52774918</v>
      </c>
      <c r="BL4" s="69">
        <f t="shared" ref="BL4:BN70" si="19">BK4/10*12</f>
        <v>63329901.599999994</v>
      </c>
      <c r="BM4" s="501">
        <v>80985312</v>
      </c>
      <c r="BN4" s="501">
        <v>80985312</v>
      </c>
      <c r="BO4" s="501">
        <v>77409108</v>
      </c>
      <c r="BP4" s="501">
        <f t="shared" si="17"/>
        <v>80985312</v>
      </c>
      <c r="BQ4" s="569">
        <f t="shared" si="18"/>
        <v>85034577.600000009</v>
      </c>
      <c r="BR4" s="501">
        <v>85034578</v>
      </c>
      <c r="BS4" s="245">
        <v>87410448</v>
      </c>
      <c r="BT4" s="245">
        <v>87410448</v>
      </c>
      <c r="BU4" s="770">
        <v>146805625</v>
      </c>
      <c r="BV4" s="347">
        <v>84549116</v>
      </c>
    </row>
    <row r="5" spans="1:89" x14ac:dyDescent="0.25">
      <c r="A5" s="54" t="s">
        <v>585</v>
      </c>
      <c r="B5" s="448" t="s">
        <v>586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14"/>
      <c r="N5" s="14"/>
      <c r="O5" s="65"/>
      <c r="P5" s="65"/>
      <c r="Q5" s="65"/>
      <c r="R5" s="65"/>
      <c r="S5" s="65"/>
      <c r="T5" s="65"/>
      <c r="U5" s="65"/>
      <c r="V5" s="69"/>
      <c r="W5" s="69"/>
      <c r="X5" s="121"/>
      <c r="Y5" s="14"/>
      <c r="Z5" s="226"/>
      <c r="AA5" s="227"/>
      <c r="AB5" s="65"/>
      <c r="AC5" s="222"/>
      <c r="AD5" s="65"/>
      <c r="AE5" s="121"/>
      <c r="AF5" s="65"/>
      <c r="AG5" s="65"/>
      <c r="AH5" s="65"/>
      <c r="AI5" s="65"/>
      <c r="AJ5" s="65"/>
      <c r="AK5" s="65"/>
      <c r="AL5" s="65"/>
      <c r="AM5" s="65"/>
      <c r="AN5" s="222"/>
      <c r="AO5" s="222"/>
      <c r="AP5" s="222"/>
      <c r="AR5" s="69"/>
      <c r="AT5" s="65"/>
      <c r="AU5" s="65"/>
      <c r="AV5" s="65"/>
      <c r="AW5" s="222">
        <v>40574664</v>
      </c>
      <c r="AX5" s="222">
        <v>40574664</v>
      </c>
      <c r="AY5" s="69">
        <f t="shared" si="14"/>
        <v>40574664</v>
      </c>
      <c r="AZ5" s="69">
        <f t="shared" si="15"/>
        <v>40574664</v>
      </c>
      <c r="BA5" s="69">
        <f t="shared" si="15"/>
        <v>40574664</v>
      </c>
      <c r="BB5" s="501">
        <v>40019251</v>
      </c>
      <c r="BC5" s="501">
        <v>40415071</v>
      </c>
      <c r="BD5" s="501">
        <v>24106155</v>
      </c>
      <c r="BE5" s="501">
        <v>30286787</v>
      </c>
      <c r="BF5" s="221">
        <v>33377103</v>
      </c>
      <c r="BG5" s="517">
        <f t="shared" si="16"/>
        <v>40052523.599999994</v>
      </c>
      <c r="BH5" s="222">
        <v>40873523</v>
      </c>
      <c r="BI5" s="65">
        <v>40873523</v>
      </c>
      <c r="BJ5" s="65">
        <v>21254233</v>
      </c>
      <c r="BK5" s="65">
        <v>33121473</v>
      </c>
      <c r="BL5" s="69">
        <f t="shared" si="19"/>
        <v>39745767.599999994</v>
      </c>
      <c r="BM5" s="501">
        <v>57769614</v>
      </c>
      <c r="BN5" s="501">
        <v>57769614</v>
      </c>
      <c r="BO5" s="501">
        <v>55272486</v>
      </c>
      <c r="BP5" s="501">
        <f t="shared" si="17"/>
        <v>57769614</v>
      </c>
      <c r="BQ5" s="569">
        <f t="shared" si="18"/>
        <v>60658094.700000003</v>
      </c>
      <c r="BR5" s="501">
        <v>60658095</v>
      </c>
      <c r="BS5" s="245">
        <v>79384359</v>
      </c>
      <c r="BT5" s="245">
        <v>79384359</v>
      </c>
      <c r="BU5" s="770">
        <v>6802762</v>
      </c>
      <c r="BV5" s="347">
        <v>64503601</v>
      </c>
    </row>
    <row r="6" spans="1:89" x14ac:dyDescent="0.25">
      <c r="A6" s="54" t="s">
        <v>10</v>
      </c>
      <c r="B6" s="55" t="s">
        <v>178</v>
      </c>
      <c r="C6" s="55">
        <v>2933220</v>
      </c>
      <c r="D6" s="55">
        <v>2698567</v>
      </c>
      <c r="E6" s="55">
        <v>2983380</v>
      </c>
      <c r="F6" s="55">
        <v>3098210</v>
      </c>
      <c r="G6" s="55">
        <v>3377183</v>
      </c>
      <c r="H6" s="55">
        <v>3403005</v>
      </c>
      <c r="I6" s="55">
        <f t="shared" si="0"/>
        <v>3712369.0909090908</v>
      </c>
      <c r="J6" s="55">
        <v>3230700</v>
      </c>
      <c r="K6" s="55">
        <v>3230700</v>
      </c>
      <c r="L6" s="55">
        <v>3230700</v>
      </c>
      <c r="M6" s="1">
        <f t="shared" si="1"/>
        <v>87.025290882616986</v>
      </c>
      <c r="O6" s="55">
        <v>3436761</v>
      </c>
      <c r="P6" s="55">
        <v>3098142</v>
      </c>
      <c r="Q6" s="55">
        <v>3433139</v>
      </c>
      <c r="R6" s="55">
        <f>'központi támogatások'!M28</f>
        <v>3230700</v>
      </c>
      <c r="S6" s="55">
        <v>4026591</v>
      </c>
      <c r="T6" s="55">
        <v>4103132</v>
      </c>
      <c r="U6" s="55">
        <f t="shared" si="2"/>
        <v>3230700</v>
      </c>
      <c r="V6" s="69">
        <f t="shared" si="3"/>
        <v>3230700</v>
      </c>
      <c r="W6" s="69">
        <f t="shared" si="4"/>
        <v>3230700</v>
      </c>
      <c r="X6" s="122">
        <f t="shared" si="5"/>
        <v>127.00442628532515</v>
      </c>
      <c r="Z6" s="140">
        <f t="shared" si="6"/>
        <v>0.78737413273567602</v>
      </c>
      <c r="AA6" s="171">
        <v>3320240</v>
      </c>
      <c r="AB6" s="55">
        <v>2180479</v>
      </c>
      <c r="AC6" s="223">
        <v>2974569</v>
      </c>
      <c r="AD6" s="55">
        <v>3314022</v>
      </c>
      <c r="AE6" s="122">
        <f t="shared" si="7"/>
        <v>99.812724381370018</v>
      </c>
      <c r="AF6" s="55">
        <v>4110881</v>
      </c>
      <c r="AG6" s="322">
        <v>3671937</v>
      </c>
      <c r="AH6" s="55">
        <f t="shared" si="8"/>
        <v>4406324.4000000004</v>
      </c>
      <c r="AI6" s="230">
        <f t="shared" si="9"/>
        <v>4494450.8880000003</v>
      </c>
      <c r="AK6" s="331">
        <v>3476529</v>
      </c>
      <c r="AM6" s="55">
        <v>4387771</v>
      </c>
      <c r="AN6" s="223"/>
      <c r="AO6" s="223"/>
      <c r="AP6" s="222">
        <v>3476529</v>
      </c>
      <c r="AQ6" s="65">
        <v>3486306</v>
      </c>
      <c r="AR6" s="69">
        <f t="shared" si="10"/>
        <v>-9777</v>
      </c>
      <c r="AS6" s="415">
        <f t="shared" si="11"/>
        <v>100.28122877732359</v>
      </c>
      <c r="AT6" s="55">
        <v>4800099</v>
      </c>
      <c r="AU6" s="55">
        <f t="shared" si="12"/>
        <v>-1323570</v>
      </c>
      <c r="AV6" s="55">
        <f t="shared" si="13"/>
        <v>-38.071593822459128</v>
      </c>
      <c r="AW6" s="222">
        <v>5157155</v>
      </c>
      <c r="AX6" s="222">
        <v>5157155</v>
      </c>
      <c r="AY6" s="69">
        <f t="shared" si="14"/>
        <v>5157155</v>
      </c>
      <c r="AZ6" s="69">
        <f t="shared" si="15"/>
        <v>5157155</v>
      </c>
      <c r="BA6" s="69">
        <f t="shared" si="15"/>
        <v>5157155</v>
      </c>
      <c r="BB6" s="501">
        <v>6197520</v>
      </c>
      <c r="BC6" s="501">
        <v>6300336</v>
      </c>
      <c r="BD6" s="501">
        <v>3780203</v>
      </c>
      <c r="BE6" s="501">
        <v>4788257</v>
      </c>
      <c r="BF6" s="221">
        <v>5292284</v>
      </c>
      <c r="BG6" s="517">
        <f t="shared" si="16"/>
        <v>6350740.8000000007</v>
      </c>
      <c r="BH6" s="222">
        <v>6428765</v>
      </c>
      <c r="BI6" s="65">
        <v>6428765</v>
      </c>
      <c r="BJ6" s="65">
        <v>3342957</v>
      </c>
      <c r="BK6" s="65">
        <v>5400161</v>
      </c>
      <c r="BL6" s="69">
        <v>6627935</v>
      </c>
      <c r="BM6" s="501">
        <v>6627935</v>
      </c>
      <c r="BN6" s="501">
        <v>6627935</v>
      </c>
      <c r="BO6" s="501">
        <v>8192908</v>
      </c>
      <c r="BP6" s="501">
        <v>8192908</v>
      </c>
      <c r="BQ6" s="569">
        <f t="shared" si="18"/>
        <v>8602553.4000000004</v>
      </c>
      <c r="BR6" s="501">
        <v>8602553</v>
      </c>
      <c r="BS6" s="245">
        <v>6754076</v>
      </c>
      <c r="BT6" s="245">
        <v>6754076</v>
      </c>
      <c r="BU6" s="770">
        <v>4000000</v>
      </c>
      <c r="BV6" s="347">
        <v>6844809</v>
      </c>
    </row>
    <row r="7" spans="1:89" x14ac:dyDescent="0.25">
      <c r="A7" s="54" t="s">
        <v>11</v>
      </c>
      <c r="B7" s="55" t="s">
        <v>179</v>
      </c>
      <c r="C7" s="55">
        <v>0</v>
      </c>
      <c r="D7" s="55">
        <v>4467502</v>
      </c>
      <c r="E7" s="55">
        <v>0</v>
      </c>
      <c r="F7" s="55">
        <v>4757555</v>
      </c>
      <c r="G7" s="55">
        <v>2138723</v>
      </c>
      <c r="H7" s="55">
        <v>4798181</v>
      </c>
      <c r="I7" s="55">
        <f t="shared" si="0"/>
        <v>5234379.2727272725</v>
      </c>
      <c r="J7" s="55">
        <v>11648000</v>
      </c>
      <c r="K7" s="55">
        <v>11648000</v>
      </c>
      <c r="L7" s="55">
        <v>11648000</v>
      </c>
      <c r="M7" s="1">
        <f t="shared" si="1"/>
        <v>222.52877357759812</v>
      </c>
      <c r="O7" s="55">
        <v>15074696</v>
      </c>
      <c r="P7" s="55">
        <v>752776</v>
      </c>
      <c r="Q7" s="55">
        <v>1490266</v>
      </c>
      <c r="R7" s="55">
        <v>0</v>
      </c>
      <c r="S7" s="55">
        <v>1516556</v>
      </c>
      <c r="T7" s="55">
        <v>2792731</v>
      </c>
      <c r="U7" s="55">
        <f t="shared" si="2"/>
        <v>0</v>
      </c>
      <c r="V7" s="138">
        <v>5992000</v>
      </c>
      <c r="W7" s="138">
        <v>5992000</v>
      </c>
      <c r="X7" s="122"/>
      <c r="Z7" s="140">
        <f t="shared" si="6"/>
        <v>2.145570053112885</v>
      </c>
      <c r="AA7" s="188">
        <v>0</v>
      </c>
      <c r="AB7" s="55">
        <v>5992000</v>
      </c>
      <c r="AC7" s="223">
        <v>6812420</v>
      </c>
      <c r="AD7" s="55">
        <v>6812420</v>
      </c>
      <c r="AE7" s="55">
        <v>6812420</v>
      </c>
      <c r="AF7" s="55">
        <v>6812420</v>
      </c>
      <c r="AG7" s="322">
        <v>6812420</v>
      </c>
      <c r="AH7" s="55">
        <f t="shared" si="8"/>
        <v>8174904</v>
      </c>
      <c r="AI7" s="230">
        <f t="shared" si="9"/>
        <v>8338402.0800000001</v>
      </c>
      <c r="AK7" s="288"/>
      <c r="AM7" s="55">
        <v>6812420</v>
      </c>
      <c r="AN7" s="223"/>
      <c r="AO7" s="223"/>
      <c r="AP7" s="222"/>
      <c r="AR7" s="69">
        <f t="shared" si="10"/>
        <v>0</v>
      </c>
      <c r="AT7" s="55">
        <v>762000</v>
      </c>
      <c r="AU7" s="55"/>
      <c r="AV7" s="55"/>
      <c r="AW7" s="222">
        <v>762000</v>
      </c>
      <c r="AX7" s="222">
        <v>762000</v>
      </c>
      <c r="AY7" s="69">
        <f t="shared" si="14"/>
        <v>762000</v>
      </c>
      <c r="AZ7" s="69">
        <f t="shared" si="15"/>
        <v>762000</v>
      </c>
      <c r="BA7" s="69">
        <f t="shared" ref="BA7:BA8" si="20">AZ7</f>
        <v>762000</v>
      </c>
      <c r="BB7" s="501">
        <v>762000</v>
      </c>
      <c r="BC7" s="501">
        <v>12462846</v>
      </c>
      <c r="BD7" s="501">
        <v>6231423</v>
      </c>
      <c r="BE7" s="501">
        <v>7031523</v>
      </c>
      <c r="BF7" s="221">
        <v>13262946</v>
      </c>
      <c r="BG7" s="517">
        <f t="shared" si="16"/>
        <v>15915535.200000001</v>
      </c>
      <c r="BH7" s="222">
        <v>3125520</v>
      </c>
      <c r="BI7" s="65">
        <v>10286990</v>
      </c>
      <c r="BJ7" s="332">
        <v>10286990</v>
      </c>
      <c r="BK7" s="65">
        <v>20499498</v>
      </c>
      <c r="BL7" s="69">
        <v>10286990</v>
      </c>
      <c r="BM7" s="501">
        <v>4780000</v>
      </c>
      <c r="BN7" s="501">
        <v>4780000</v>
      </c>
      <c r="BO7" s="501">
        <v>21776100</v>
      </c>
      <c r="BP7" s="501">
        <v>21776100</v>
      </c>
      <c r="BQ7" s="569">
        <v>21776100</v>
      </c>
      <c r="BR7" s="501"/>
      <c r="BS7" s="569"/>
      <c r="BT7" s="569"/>
      <c r="BU7" s="726"/>
      <c r="BV7" s="347"/>
    </row>
    <row r="8" spans="1:89" x14ac:dyDescent="0.25">
      <c r="A8" s="54" t="s">
        <v>443</v>
      </c>
      <c r="B8" s="55" t="s">
        <v>444</v>
      </c>
      <c r="C8" s="55"/>
      <c r="D8" s="55"/>
      <c r="E8" s="55"/>
      <c r="F8" s="55"/>
      <c r="G8" s="55"/>
      <c r="H8" s="55"/>
      <c r="I8" s="55"/>
      <c r="J8" s="55"/>
      <c r="K8" s="55"/>
      <c r="L8" s="55"/>
      <c r="O8" s="55"/>
      <c r="P8" s="55"/>
      <c r="Q8" s="55"/>
      <c r="R8" s="55"/>
      <c r="S8" s="55"/>
      <c r="T8" s="55"/>
      <c r="U8" s="55"/>
      <c r="V8" s="138"/>
      <c r="W8" s="138"/>
      <c r="X8" s="122"/>
      <c r="Z8" s="140"/>
      <c r="AA8" s="188"/>
      <c r="AB8" s="55"/>
      <c r="AC8" s="223">
        <v>124817</v>
      </c>
      <c r="AD8" s="55">
        <v>124817</v>
      </c>
      <c r="AE8" s="122"/>
      <c r="AG8" s="322">
        <v>124817</v>
      </c>
      <c r="AH8" s="55">
        <f t="shared" si="8"/>
        <v>149780.40000000002</v>
      </c>
      <c r="AI8" s="230">
        <f t="shared" si="9"/>
        <v>152776.00800000003</v>
      </c>
      <c r="AK8" s="288"/>
      <c r="AM8" s="55">
        <v>124817</v>
      </c>
      <c r="AN8" s="223"/>
      <c r="AO8" s="223"/>
      <c r="AP8" s="222">
        <v>0</v>
      </c>
      <c r="AQ8" s="65">
        <v>298737</v>
      </c>
      <c r="AR8" s="69">
        <f t="shared" si="10"/>
        <v>-298737</v>
      </c>
      <c r="AT8" s="55">
        <v>298737</v>
      </c>
      <c r="AU8" s="55"/>
      <c r="AV8" s="55"/>
      <c r="AW8" s="222">
        <v>298737</v>
      </c>
      <c r="AX8" s="222">
        <v>298737</v>
      </c>
      <c r="AY8" s="69">
        <f t="shared" si="14"/>
        <v>298737</v>
      </c>
      <c r="AZ8" s="69">
        <f t="shared" si="15"/>
        <v>298737</v>
      </c>
      <c r="BA8" s="69">
        <f t="shared" si="20"/>
        <v>298737</v>
      </c>
      <c r="BB8" s="501">
        <v>298737</v>
      </c>
      <c r="BC8" s="501">
        <v>298737</v>
      </c>
      <c r="BD8" s="501">
        <v>5008720</v>
      </c>
      <c r="BE8" s="501">
        <v>5008720</v>
      </c>
      <c r="BF8" s="221">
        <v>5008720</v>
      </c>
      <c r="BG8" s="517">
        <f t="shared" si="16"/>
        <v>6010464</v>
      </c>
      <c r="BH8" s="222"/>
      <c r="BI8" s="65">
        <v>1169610</v>
      </c>
      <c r="BJ8" s="65">
        <v>1169610</v>
      </c>
      <c r="BK8" s="65">
        <v>1169610</v>
      </c>
      <c r="BL8" s="69">
        <v>1169610</v>
      </c>
      <c r="BM8" s="55"/>
      <c r="BN8" s="55"/>
      <c r="BO8" s="55"/>
      <c r="BP8" s="55"/>
      <c r="BQ8" s="223"/>
      <c r="BR8" s="55"/>
      <c r="BS8" s="223"/>
      <c r="BT8" s="223"/>
      <c r="BU8" s="726"/>
      <c r="BV8" s="347"/>
      <c r="BW8" s="771"/>
    </row>
    <row r="9" spans="1:89" x14ac:dyDescent="0.25">
      <c r="A9" s="54" t="s">
        <v>12</v>
      </c>
      <c r="B9" s="55" t="s">
        <v>180</v>
      </c>
      <c r="C9" s="55">
        <v>37729544</v>
      </c>
      <c r="D9" s="55">
        <v>15589493</v>
      </c>
      <c r="E9" s="55">
        <v>22465952</v>
      </c>
      <c r="F9" s="55">
        <f>5443900+9264690</f>
        <v>14708590</v>
      </c>
      <c r="G9" s="55">
        <v>22465952</v>
      </c>
      <c r="H9" s="55">
        <v>16007466</v>
      </c>
      <c r="I9" s="55">
        <f t="shared" si="0"/>
        <v>17462690.181818184</v>
      </c>
      <c r="J9" s="55">
        <v>22465952</v>
      </c>
      <c r="K9" s="55">
        <v>6630500</v>
      </c>
      <c r="L9" s="55">
        <v>6630500</v>
      </c>
      <c r="M9" s="1">
        <f t="shared" si="1"/>
        <v>37.969522055104363</v>
      </c>
      <c r="O9" s="55">
        <v>6630500</v>
      </c>
      <c r="P9" s="55">
        <v>9458601</v>
      </c>
      <c r="Q9" s="55">
        <v>10917891</v>
      </c>
      <c r="R9" s="55">
        <v>7320000</v>
      </c>
      <c r="S9" s="55">
        <v>6630500</v>
      </c>
      <c r="T9" s="55">
        <v>12946135</v>
      </c>
      <c r="U9" s="55">
        <f t="shared" si="2"/>
        <v>7320000</v>
      </c>
      <c r="V9" s="69">
        <f t="shared" si="3"/>
        <v>7320000</v>
      </c>
      <c r="W9" s="69">
        <f t="shared" si="4"/>
        <v>7320000</v>
      </c>
      <c r="X9" s="122">
        <f t="shared" si="5"/>
        <v>176.85976775956286</v>
      </c>
      <c r="Z9" s="140">
        <f t="shared" si="6"/>
        <v>0.565419717931259</v>
      </c>
      <c r="AA9" s="171">
        <v>7320000</v>
      </c>
      <c r="AB9" s="55">
        <v>6489822</v>
      </c>
      <c r="AC9" s="223">
        <v>8525732</v>
      </c>
      <c r="AD9" s="55">
        <v>9931365</v>
      </c>
      <c r="AE9" s="122">
        <f t="shared" si="7"/>
        <v>135.67438524590162</v>
      </c>
      <c r="AF9" s="55">
        <v>7320000</v>
      </c>
      <c r="AG9" s="323">
        <v>11010565</v>
      </c>
      <c r="AH9" s="55">
        <f t="shared" si="8"/>
        <v>13212678</v>
      </c>
      <c r="AI9" s="230">
        <f t="shared" si="9"/>
        <v>13476931.560000001</v>
      </c>
      <c r="AK9" s="288">
        <f>AI9</f>
        <v>13476931.560000001</v>
      </c>
      <c r="AM9" s="55">
        <v>13530444</v>
      </c>
      <c r="AN9" s="223"/>
      <c r="AO9" s="223"/>
      <c r="AP9" s="222">
        <v>13476932</v>
      </c>
      <c r="AQ9" s="65">
        <v>7964000</v>
      </c>
      <c r="AR9" s="69">
        <f t="shared" si="10"/>
        <v>5512932</v>
      </c>
      <c r="AS9" s="415">
        <f t="shared" si="11"/>
        <v>59.093568180057602</v>
      </c>
      <c r="AT9" s="55">
        <v>11110683</v>
      </c>
      <c r="AU9" s="55">
        <f t="shared" si="12"/>
        <v>2366249</v>
      </c>
      <c r="AV9" s="55">
        <f t="shared" si="13"/>
        <v>17.557772050790195</v>
      </c>
      <c r="AW9" s="222">
        <v>13476932</v>
      </c>
      <c r="AX9" s="477">
        <v>13476932</v>
      </c>
      <c r="AY9" s="69">
        <f t="shared" si="14"/>
        <v>13476932</v>
      </c>
      <c r="AZ9" s="69">
        <f t="shared" si="15"/>
        <v>13476932</v>
      </c>
      <c r="BA9" s="69">
        <f t="shared" si="15"/>
        <v>13476932</v>
      </c>
      <c r="BB9" s="501">
        <v>29865074</v>
      </c>
      <c r="BC9" s="501">
        <v>29865074</v>
      </c>
      <c r="BD9" s="501">
        <v>9007294</v>
      </c>
      <c r="BE9" s="501">
        <v>14361114</v>
      </c>
      <c r="BF9" s="221">
        <v>15272814</v>
      </c>
      <c r="BG9" s="517">
        <f t="shared" si="16"/>
        <v>18327376.799999997</v>
      </c>
      <c r="BH9" s="222">
        <v>18366434</v>
      </c>
      <c r="BI9" s="65">
        <v>18366434</v>
      </c>
      <c r="BJ9" s="65">
        <v>6912619</v>
      </c>
      <c r="BK9" s="65">
        <v>12283833</v>
      </c>
      <c r="BL9" s="69">
        <v>18366434</v>
      </c>
      <c r="BM9" s="55">
        <v>18366434</v>
      </c>
      <c r="BN9" s="55">
        <v>18366434</v>
      </c>
      <c r="BO9" s="55">
        <v>9660658</v>
      </c>
      <c r="BP9" s="55">
        <v>0</v>
      </c>
      <c r="BQ9" s="223">
        <v>0</v>
      </c>
      <c r="BR9" s="55"/>
      <c r="BS9" s="223"/>
      <c r="BT9" s="223"/>
      <c r="BU9" s="726">
        <v>25000000</v>
      </c>
      <c r="BV9" s="872">
        <v>34848390</v>
      </c>
    </row>
    <row r="10" spans="1:89" x14ac:dyDescent="0.25">
      <c r="A10" s="54" t="s">
        <v>13</v>
      </c>
      <c r="B10" s="55" t="s">
        <v>181</v>
      </c>
      <c r="C10" s="55">
        <v>0</v>
      </c>
      <c r="D10" s="55">
        <v>27943102</v>
      </c>
      <c r="E10" s="55">
        <v>0</v>
      </c>
      <c r="F10" s="55">
        <v>35778886</v>
      </c>
      <c r="G10" s="55">
        <v>0</v>
      </c>
      <c r="H10" s="55">
        <v>50778886</v>
      </c>
      <c r="I10" s="55">
        <v>50778866</v>
      </c>
      <c r="J10" s="55">
        <v>0</v>
      </c>
      <c r="K10" s="55">
        <v>0</v>
      </c>
      <c r="L10" s="55">
        <f t="shared" ref="L10:L94" si="21">E10</f>
        <v>0</v>
      </c>
      <c r="M10" s="1">
        <f t="shared" si="1"/>
        <v>0</v>
      </c>
      <c r="O10" s="55">
        <v>203983052</v>
      </c>
      <c r="P10" s="55">
        <v>203983052</v>
      </c>
      <c r="Q10" s="55">
        <v>219378474</v>
      </c>
      <c r="R10" s="55">
        <v>0</v>
      </c>
      <c r="S10" s="55">
        <v>238985899</v>
      </c>
      <c r="T10" s="55">
        <v>238985899</v>
      </c>
      <c r="U10" s="55">
        <f t="shared" si="2"/>
        <v>0</v>
      </c>
      <c r="V10" s="69">
        <f t="shared" si="3"/>
        <v>0</v>
      </c>
      <c r="W10" s="69">
        <f t="shared" si="4"/>
        <v>0</v>
      </c>
      <c r="X10" s="122"/>
      <c r="Z10" s="140">
        <f t="shared" si="6"/>
        <v>0</v>
      </c>
      <c r="AA10" s="171">
        <f>'központi támogatások'!Q8:Q17</f>
        <v>0</v>
      </c>
      <c r="AB10" s="55">
        <v>893898</v>
      </c>
      <c r="AC10" s="223">
        <v>893898</v>
      </c>
      <c r="AD10" s="55">
        <v>15893898</v>
      </c>
      <c r="AE10" s="122"/>
      <c r="AF10" s="55">
        <v>15893898</v>
      </c>
      <c r="AG10" s="324">
        <v>34347281</v>
      </c>
      <c r="AH10" s="55">
        <f t="shared" si="8"/>
        <v>41216737.200000003</v>
      </c>
      <c r="AI10" s="230">
        <f t="shared" si="9"/>
        <v>42041071.944000006</v>
      </c>
      <c r="AM10" s="55">
        <v>34347281</v>
      </c>
      <c r="AN10" s="223"/>
      <c r="AO10" s="223"/>
      <c r="AP10" s="222"/>
      <c r="AR10" s="69">
        <f t="shared" si="10"/>
        <v>0</v>
      </c>
      <c r="AT10" s="55">
        <v>47618067</v>
      </c>
      <c r="AU10" s="55">
        <f t="shared" si="12"/>
        <v>-47618067</v>
      </c>
      <c r="AV10" s="55"/>
      <c r="AW10" s="222">
        <v>20000000</v>
      </c>
      <c r="AX10" s="222">
        <v>20000000</v>
      </c>
      <c r="AY10" s="69">
        <f t="shared" si="14"/>
        <v>20000000</v>
      </c>
      <c r="AZ10" s="69">
        <f t="shared" si="15"/>
        <v>20000000</v>
      </c>
      <c r="BA10" s="69">
        <f t="shared" si="15"/>
        <v>20000000</v>
      </c>
      <c r="BB10" s="501">
        <v>20000000</v>
      </c>
      <c r="BC10" s="501">
        <v>25642000</v>
      </c>
      <c r="BD10" s="501">
        <v>29307000</v>
      </c>
      <c r="BE10" s="501">
        <v>55435312</v>
      </c>
      <c r="BF10" s="221">
        <v>60435312</v>
      </c>
      <c r="BG10" s="517">
        <f t="shared" si="16"/>
        <v>72522374.400000006</v>
      </c>
      <c r="BH10" s="222">
        <v>66736382</v>
      </c>
      <c r="BI10" s="579">
        <v>76736382</v>
      </c>
      <c r="BJ10" s="65">
        <v>10000000</v>
      </c>
      <c r="BK10" s="65">
        <v>25638741</v>
      </c>
      <c r="BL10" s="69">
        <v>0</v>
      </c>
      <c r="BM10" s="55"/>
      <c r="BN10" s="55"/>
      <c r="BO10" s="637"/>
      <c r="BP10" s="637"/>
      <c r="BQ10" s="223"/>
      <c r="BR10" s="65"/>
      <c r="BS10" s="222"/>
      <c r="BT10" s="222">
        <v>20000000</v>
      </c>
      <c r="BU10" s="726"/>
      <c r="BV10" s="347"/>
    </row>
    <row r="11" spans="1:89" x14ac:dyDescent="0.25">
      <c r="A11" s="54" t="s">
        <v>440</v>
      </c>
      <c r="B11" s="55" t="s">
        <v>441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O11" s="55"/>
      <c r="P11" s="55"/>
      <c r="Q11" s="55"/>
      <c r="R11" s="55"/>
      <c r="S11" s="55"/>
      <c r="T11" s="55"/>
      <c r="U11" s="55">
        <v>0</v>
      </c>
      <c r="V11" s="69"/>
      <c r="W11" s="69"/>
      <c r="X11" s="122"/>
      <c r="Z11" s="140"/>
      <c r="AA11" s="171">
        <v>0</v>
      </c>
      <c r="AB11" s="55">
        <v>80647948</v>
      </c>
      <c r="AC11" s="223">
        <v>166418863</v>
      </c>
      <c r="AD11" s="55">
        <v>166418863</v>
      </c>
      <c r="AE11" s="122"/>
      <c r="AF11" s="55">
        <v>406928632</v>
      </c>
      <c r="AG11" s="324">
        <v>289147485</v>
      </c>
      <c r="AH11" s="55">
        <f t="shared" si="8"/>
        <v>346976982</v>
      </c>
      <c r="AI11" s="288">
        <v>324622996</v>
      </c>
      <c r="AJ11" s="288"/>
      <c r="AK11" s="66">
        <f>AI11+30000000+50000000</f>
        <v>404622996</v>
      </c>
      <c r="AM11" s="55">
        <v>383482078</v>
      </c>
      <c r="AN11" s="223"/>
      <c r="AO11" s="223"/>
      <c r="AP11" s="222">
        <v>439309212</v>
      </c>
      <c r="AQ11" s="65">
        <v>389309212</v>
      </c>
      <c r="AR11" s="69">
        <f t="shared" si="10"/>
        <v>50000000</v>
      </c>
      <c r="AS11" s="415">
        <f t="shared" si="11"/>
        <v>88.618494983893029</v>
      </c>
      <c r="AT11" s="55">
        <v>372305963</v>
      </c>
      <c r="AU11" s="55">
        <f t="shared" si="12"/>
        <v>67003249</v>
      </c>
      <c r="AV11" s="55">
        <f t="shared" si="13"/>
        <v>15.251956291779287</v>
      </c>
      <c r="AW11" s="222">
        <v>419309212</v>
      </c>
      <c r="AX11" s="472">
        <f>8708930+3000000+40000000+10000000+8000000+20000000</f>
        <v>89708930</v>
      </c>
      <c r="AY11" s="69">
        <f>AX11+5000000</f>
        <v>94708930</v>
      </c>
      <c r="AZ11" s="69">
        <f t="shared" si="15"/>
        <v>94708930</v>
      </c>
      <c r="BA11" s="69">
        <f t="shared" si="15"/>
        <v>94708930</v>
      </c>
      <c r="BB11" s="501">
        <v>94708930</v>
      </c>
      <c r="BC11" s="501">
        <v>94708930</v>
      </c>
      <c r="BD11" s="501">
        <v>45124566</v>
      </c>
      <c r="BE11" s="501">
        <v>45124566</v>
      </c>
      <c r="BF11" s="221">
        <v>45124566</v>
      </c>
      <c r="BG11" s="517">
        <f t="shared" si="16"/>
        <v>54149479.199999996</v>
      </c>
      <c r="BH11" s="222">
        <v>92000000</v>
      </c>
      <c r="BI11" s="579">
        <v>369484838</v>
      </c>
      <c r="BJ11" s="65">
        <v>62000000</v>
      </c>
      <c r="BK11" s="65">
        <v>359484838</v>
      </c>
      <c r="BL11" s="69">
        <v>0</v>
      </c>
      <c r="BM11" s="55">
        <v>0</v>
      </c>
      <c r="BN11" s="55">
        <v>0</v>
      </c>
      <c r="BO11" s="65">
        <v>629977090</v>
      </c>
      <c r="BP11" s="65">
        <v>629977090</v>
      </c>
      <c r="BQ11" s="222"/>
      <c r="BR11" s="65"/>
      <c r="BS11" s="222"/>
      <c r="BT11" s="222"/>
      <c r="BU11" s="747"/>
      <c r="BV11" s="171"/>
      <c r="BY11" s="860"/>
    </row>
    <row r="12" spans="1:89" s="592" customFormat="1" x14ac:dyDescent="0.25">
      <c r="A12" s="581" t="s">
        <v>14</v>
      </c>
      <c r="B12" s="582" t="s">
        <v>690</v>
      </c>
      <c r="C12" s="582">
        <v>90041713</v>
      </c>
      <c r="D12" s="582">
        <v>91660013</v>
      </c>
      <c r="E12" s="582">
        <v>90041717</v>
      </c>
      <c r="F12" s="582">
        <f>47532826+9255728+24156168</f>
        <v>80944722</v>
      </c>
      <c r="G12" s="582">
        <v>90041717</v>
      </c>
      <c r="H12" s="582">
        <v>85355555</v>
      </c>
      <c r="I12" s="582">
        <f>H12+655146+263408+119250+92000</f>
        <v>86485359</v>
      </c>
      <c r="J12" s="582">
        <v>90041717</v>
      </c>
      <c r="K12" s="582">
        <v>90041717</v>
      </c>
      <c r="L12" s="582">
        <f t="shared" si="21"/>
        <v>90041717</v>
      </c>
      <c r="M12" s="583">
        <f t="shared" si="1"/>
        <v>104.11209254505147</v>
      </c>
      <c r="N12" s="583"/>
      <c r="O12" s="582">
        <v>90041717</v>
      </c>
      <c r="P12" s="582">
        <v>75110304</v>
      </c>
      <c r="Q12" s="582">
        <v>79820494</v>
      </c>
      <c r="R12" s="582">
        <v>90041717</v>
      </c>
      <c r="S12" s="582">
        <v>90041717</v>
      </c>
      <c r="T12" s="582">
        <v>85883444</v>
      </c>
      <c r="U12" s="582">
        <f t="shared" si="2"/>
        <v>90041717</v>
      </c>
      <c r="V12" s="584">
        <f t="shared" si="3"/>
        <v>90041717</v>
      </c>
      <c r="W12" s="584">
        <f t="shared" si="4"/>
        <v>90041717</v>
      </c>
      <c r="X12" s="585">
        <f t="shared" si="5"/>
        <v>95.381837287709644</v>
      </c>
      <c r="Y12" s="583"/>
      <c r="Z12" s="586">
        <f t="shared" si="6"/>
        <v>1.0484176321573691</v>
      </c>
      <c r="AA12" s="587">
        <f>50405040+26978370+10308556</f>
        <v>87691966</v>
      </c>
      <c r="AB12" s="582">
        <v>50318904</v>
      </c>
      <c r="AC12" s="588">
        <v>57066770</v>
      </c>
      <c r="AD12" s="582">
        <v>78751174</v>
      </c>
      <c r="AE12" s="585">
        <f t="shared" si="7"/>
        <v>89.804320272623386</v>
      </c>
      <c r="AF12" s="582">
        <v>87691966</v>
      </c>
      <c r="AG12" s="582">
        <v>84082610</v>
      </c>
      <c r="AH12" s="582">
        <f t="shared" si="8"/>
        <v>100899132</v>
      </c>
      <c r="AI12" s="582">
        <f t="shared" si="9"/>
        <v>102917114.64</v>
      </c>
      <c r="AJ12" s="582"/>
      <c r="AK12" s="582">
        <f t="shared" ref="AK12:AK32" si="22">AI12</f>
        <v>102917114.64</v>
      </c>
      <c r="AL12" s="582"/>
      <c r="AM12" s="582">
        <v>88637308</v>
      </c>
      <c r="AN12" s="588"/>
      <c r="AO12" s="588"/>
      <c r="AP12" s="588">
        <v>102917115</v>
      </c>
      <c r="AQ12" s="582">
        <v>83323639</v>
      </c>
      <c r="AR12" s="584">
        <f t="shared" si="10"/>
        <v>19593476</v>
      </c>
      <c r="AS12" s="589">
        <f t="shared" si="11"/>
        <v>80.961887631615014</v>
      </c>
      <c r="AT12" s="582">
        <v>88002620</v>
      </c>
      <c r="AU12" s="582">
        <f t="shared" si="12"/>
        <v>14914495</v>
      </c>
      <c r="AV12" s="582">
        <f t="shared" si="13"/>
        <v>14.491753873979075</v>
      </c>
      <c r="AW12" s="590">
        <v>102917115</v>
      </c>
      <c r="AX12" s="590">
        <v>102917115</v>
      </c>
      <c r="AY12" s="584">
        <f t="shared" si="14"/>
        <v>102917115</v>
      </c>
      <c r="AZ12" s="584">
        <f t="shared" si="15"/>
        <v>102917115</v>
      </c>
      <c r="BA12" s="584">
        <f t="shared" si="15"/>
        <v>102917115</v>
      </c>
      <c r="BB12" s="582">
        <v>102917115</v>
      </c>
      <c r="BC12" s="582">
        <v>102917115</v>
      </c>
      <c r="BD12" s="582">
        <v>62408872</v>
      </c>
      <c r="BE12" s="582">
        <v>90458549</v>
      </c>
      <c r="BF12" s="582">
        <v>94008833</v>
      </c>
      <c r="BG12" s="591">
        <f t="shared" si="16"/>
        <v>112810599.60000001</v>
      </c>
      <c r="BH12" s="588">
        <v>110660243</v>
      </c>
      <c r="BI12" s="582">
        <v>110660243</v>
      </c>
      <c r="BJ12" s="582">
        <v>61434048</v>
      </c>
      <c r="BK12" s="582">
        <v>91586738</v>
      </c>
      <c r="BL12" s="584">
        <v>110660243</v>
      </c>
      <c r="BM12" s="582">
        <f>56554312+21278443+26504241+10000000</f>
        <v>114336996</v>
      </c>
      <c r="BN12" s="582">
        <f>56554312+21278443+26504241+10000000</f>
        <v>114336996</v>
      </c>
      <c r="BO12" s="582">
        <v>94586124</v>
      </c>
      <c r="BP12" s="582">
        <f>BO12/10*12</f>
        <v>113503348.80000001</v>
      </c>
      <c r="BQ12" s="588">
        <f>BN12</f>
        <v>114336996</v>
      </c>
      <c r="BR12" s="582">
        <v>114336996</v>
      </c>
      <c r="BS12" s="588">
        <v>114336996</v>
      </c>
      <c r="BT12" s="245">
        <f>114336996+15000000+15000000</f>
        <v>144336996</v>
      </c>
      <c r="BU12" s="773">
        <v>134000000</v>
      </c>
      <c r="BV12" s="347">
        <v>115827624</v>
      </c>
      <c r="BW12" s="754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</row>
    <row r="13" spans="1:89" s="592" customFormat="1" x14ac:dyDescent="0.25">
      <c r="A13" s="581" t="s">
        <v>15</v>
      </c>
      <c r="B13" s="582" t="s">
        <v>546</v>
      </c>
      <c r="C13" s="582">
        <v>39806082</v>
      </c>
      <c r="D13" s="582">
        <v>42120047</v>
      </c>
      <c r="E13" s="582">
        <v>39806083</v>
      </c>
      <c r="F13" s="582">
        <v>27029326</v>
      </c>
      <c r="G13" s="582">
        <v>39806083</v>
      </c>
      <c r="H13" s="582">
        <v>28990387</v>
      </c>
      <c r="I13" s="582">
        <f>H13+7272399</f>
        <v>36262786</v>
      </c>
      <c r="J13" s="582">
        <v>39806083</v>
      </c>
      <c r="K13" s="582">
        <v>39806083</v>
      </c>
      <c r="L13" s="582">
        <f t="shared" si="21"/>
        <v>39806083</v>
      </c>
      <c r="M13" s="583">
        <f t="shared" si="1"/>
        <v>109.77116595509236</v>
      </c>
      <c r="N13" s="583"/>
      <c r="O13" s="582">
        <v>39806083</v>
      </c>
      <c r="P13" s="582">
        <v>32509774</v>
      </c>
      <c r="Q13" s="582">
        <v>34967296</v>
      </c>
      <c r="R13" s="582">
        <v>39806083</v>
      </c>
      <c r="S13" s="582">
        <v>39806083</v>
      </c>
      <c r="T13" s="582">
        <v>41032964</v>
      </c>
      <c r="U13" s="582">
        <f t="shared" si="2"/>
        <v>39806083</v>
      </c>
      <c r="V13" s="584">
        <f t="shared" si="3"/>
        <v>39806083</v>
      </c>
      <c r="W13" s="584">
        <f t="shared" si="4"/>
        <v>39806083</v>
      </c>
      <c r="X13" s="585">
        <f t="shared" si="5"/>
        <v>103.08214450540135</v>
      </c>
      <c r="Y13" s="583"/>
      <c r="Z13" s="586">
        <f t="shared" si="6"/>
        <v>0.97010011268013685</v>
      </c>
      <c r="AA13" s="587">
        <f>41086728+1833700+478225</f>
        <v>43398653</v>
      </c>
      <c r="AB13" s="582">
        <v>19036725</v>
      </c>
      <c r="AC13" s="588">
        <v>21803463</v>
      </c>
      <c r="AD13" s="582">
        <v>35960793</v>
      </c>
      <c r="AE13" s="585">
        <f t="shared" si="7"/>
        <v>82.861541808682404</v>
      </c>
      <c r="AF13" s="582">
        <v>43398653</v>
      </c>
      <c r="AG13" s="582">
        <v>38548695</v>
      </c>
      <c r="AH13" s="582">
        <f t="shared" si="8"/>
        <v>46258434</v>
      </c>
      <c r="AI13" s="582">
        <f t="shared" si="9"/>
        <v>47183602.68</v>
      </c>
      <c r="AJ13" s="582"/>
      <c r="AK13" s="582">
        <f t="shared" si="22"/>
        <v>47183602.68</v>
      </c>
      <c r="AL13" s="582"/>
      <c r="AM13" s="582">
        <v>44845969</v>
      </c>
      <c r="AN13" s="588"/>
      <c r="AO13" s="588"/>
      <c r="AP13" s="588">
        <v>47183603</v>
      </c>
      <c r="AQ13" s="582">
        <v>33014647</v>
      </c>
      <c r="AR13" s="584">
        <f t="shared" si="10"/>
        <v>14168956</v>
      </c>
      <c r="AS13" s="589">
        <f t="shared" si="11"/>
        <v>69.970593386011657</v>
      </c>
      <c r="AT13" s="582">
        <v>37244154</v>
      </c>
      <c r="AU13" s="582">
        <f t="shared" si="12"/>
        <v>9939449</v>
      </c>
      <c r="AV13" s="582">
        <f t="shared" si="13"/>
        <v>21.065472681261753</v>
      </c>
      <c r="AW13" s="590">
        <v>47183603</v>
      </c>
      <c r="AX13" s="590">
        <f>47183603/2</f>
        <v>23591801.5</v>
      </c>
      <c r="AY13" s="584">
        <f>AX13+7000000</f>
        <v>30591801.5</v>
      </c>
      <c r="AZ13" s="584">
        <f t="shared" si="15"/>
        <v>30591801.5</v>
      </c>
      <c r="BA13" s="584">
        <f t="shared" si="15"/>
        <v>30591801.5</v>
      </c>
      <c r="BB13" s="582">
        <v>30591802</v>
      </c>
      <c r="BC13" s="582">
        <v>30591802</v>
      </c>
      <c r="BD13" s="582">
        <v>32964018</v>
      </c>
      <c r="BE13" s="582">
        <v>48610743</v>
      </c>
      <c r="BF13" s="582">
        <v>50060449</v>
      </c>
      <c r="BG13" s="591">
        <f t="shared" si="16"/>
        <v>60072538.800000004</v>
      </c>
      <c r="BH13" s="588">
        <v>52000000</v>
      </c>
      <c r="BI13" s="582">
        <v>52000000</v>
      </c>
      <c r="BJ13" s="582">
        <v>28472819</v>
      </c>
      <c r="BK13" s="582">
        <v>49418162</v>
      </c>
      <c r="BL13" s="584">
        <v>52000000</v>
      </c>
      <c r="BM13" s="582">
        <v>75244966</v>
      </c>
      <c r="BN13" s="582">
        <v>75244966</v>
      </c>
      <c r="BO13" s="582">
        <v>50789981</v>
      </c>
      <c r="BP13" s="582">
        <f t="shared" ref="BP13:BP33" si="23">BO13/10*12</f>
        <v>60947977.199999996</v>
      </c>
      <c r="BQ13" s="588">
        <f>BN13</f>
        <v>75244966</v>
      </c>
      <c r="BR13" s="582">
        <v>75244966</v>
      </c>
      <c r="BS13" s="588">
        <v>75244966</v>
      </c>
      <c r="BT13" s="588">
        <v>75244966</v>
      </c>
      <c r="BU13" s="773">
        <v>111000000</v>
      </c>
      <c r="BV13" s="347">
        <v>123642422</v>
      </c>
      <c r="BW13" s="754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1:89" s="592" customFormat="1" x14ac:dyDescent="0.25">
      <c r="A14" s="581" t="s">
        <v>16</v>
      </c>
      <c r="B14" s="582" t="s">
        <v>184</v>
      </c>
      <c r="C14" s="582">
        <v>7721031.2000000002</v>
      </c>
      <c r="D14" s="582">
        <v>7401242</v>
      </c>
      <c r="E14" s="582">
        <v>7721031.2000000002</v>
      </c>
      <c r="F14" s="582">
        <v>7573268</v>
      </c>
      <c r="G14" s="582">
        <v>7721031</v>
      </c>
      <c r="H14" s="582">
        <v>8479175</v>
      </c>
      <c r="I14" s="582">
        <f>H14+235282</f>
        <v>8714457</v>
      </c>
      <c r="J14" s="582">
        <v>7721031.2000000002</v>
      </c>
      <c r="K14" s="582">
        <v>7721031.2000000002</v>
      </c>
      <c r="L14" s="582">
        <f t="shared" si="21"/>
        <v>7721031.2000000002</v>
      </c>
      <c r="M14" s="583">
        <f t="shared" si="1"/>
        <v>88.600255873659137</v>
      </c>
      <c r="N14" s="583"/>
      <c r="O14" s="582">
        <v>7721031</v>
      </c>
      <c r="P14" s="582">
        <v>7151411</v>
      </c>
      <c r="Q14" s="582">
        <v>7630644</v>
      </c>
      <c r="R14" s="582">
        <v>7721031</v>
      </c>
      <c r="S14" s="582">
        <v>7721031</v>
      </c>
      <c r="T14" s="582">
        <v>8257847</v>
      </c>
      <c r="U14" s="582">
        <f t="shared" si="2"/>
        <v>7721031</v>
      </c>
      <c r="V14" s="584">
        <f t="shared" si="3"/>
        <v>7721031</v>
      </c>
      <c r="W14" s="584">
        <f t="shared" si="4"/>
        <v>7721031</v>
      </c>
      <c r="X14" s="585">
        <f t="shared" si="5"/>
        <v>106.95264660898268</v>
      </c>
      <c r="Y14" s="583"/>
      <c r="Z14" s="586">
        <f t="shared" si="6"/>
        <v>0.93499322523170991</v>
      </c>
      <c r="AA14" s="587">
        <f>21723851*0.4</f>
        <v>8689540.4000000004</v>
      </c>
      <c r="AB14" s="582">
        <v>4829999</v>
      </c>
      <c r="AC14" s="588">
        <v>5660956</v>
      </c>
      <c r="AD14" s="582">
        <v>7905685</v>
      </c>
      <c r="AE14" s="585">
        <f t="shared" si="7"/>
        <v>90.979322680863532</v>
      </c>
      <c r="AF14" s="582">
        <v>8689540</v>
      </c>
      <c r="AG14" s="582">
        <v>8373992</v>
      </c>
      <c r="AH14" s="582">
        <f t="shared" si="8"/>
        <v>10048790.399999999</v>
      </c>
      <c r="AI14" s="582">
        <f t="shared" si="9"/>
        <v>10249766.207999999</v>
      </c>
      <c r="AJ14" s="582"/>
      <c r="AK14" s="582">
        <f t="shared" si="22"/>
        <v>10249766.207999999</v>
      </c>
      <c r="AL14" s="582"/>
      <c r="AM14" s="582">
        <v>8853407</v>
      </c>
      <c r="AN14" s="588"/>
      <c r="AO14" s="588"/>
      <c r="AP14" s="588">
        <v>10249766</v>
      </c>
      <c r="AQ14" s="582">
        <v>6706567</v>
      </c>
      <c r="AR14" s="584">
        <f t="shared" si="10"/>
        <v>3543199</v>
      </c>
      <c r="AS14" s="589">
        <f t="shared" si="11"/>
        <v>65.431415702563356</v>
      </c>
      <c r="AT14" s="582">
        <v>0</v>
      </c>
      <c r="AU14" s="582">
        <f t="shared" si="12"/>
        <v>10249766</v>
      </c>
      <c r="AV14" s="582">
        <f t="shared" si="13"/>
        <v>100</v>
      </c>
      <c r="AW14" s="590">
        <v>10249766</v>
      </c>
      <c r="AX14" s="590">
        <v>0</v>
      </c>
      <c r="AY14" s="584">
        <f t="shared" si="14"/>
        <v>0</v>
      </c>
      <c r="AZ14" s="584">
        <f t="shared" si="15"/>
        <v>0</v>
      </c>
      <c r="BA14" s="584">
        <f t="shared" si="15"/>
        <v>0</v>
      </c>
      <c r="BB14" s="582"/>
      <c r="BC14" s="582">
        <v>0</v>
      </c>
      <c r="BD14" s="582">
        <v>0</v>
      </c>
      <c r="BE14" s="582"/>
      <c r="BF14" s="582">
        <v>0</v>
      </c>
      <c r="BG14" s="591">
        <f t="shared" si="16"/>
        <v>0</v>
      </c>
      <c r="BH14" s="588">
        <v>0</v>
      </c>
      <c r="BI14" s="582">
        <v>0</v>
      </c>
      <c r="BJ14" s="582"/>
      <c r="BK14" s="582">
        <v>0</v>
      </c>
      <c r="BL14" s="584">
        <f t="shared" si="19"/>
        <v>0</v>
      </c>
      <c r="BM14" s="582">
        <f t="shared" si="19"/>
        <v>0</v>
      </c>
      <c r="BN14" s="582">
        <v>0</v>
      </c>
      <c r="BO14" s="582">
        <v>0</v>
      </c>
      <c r="BP14" s="582">
        <f t="shared" si="23"/>
        <v>0</v>
      </c>
      <c r="BQ14" s="588"/>
      <c r="BR14" s="582"/>
      <c r="BS14" s="588"/>
      <c r="BT14" s="588"/>
      <c r="BU14" s="773"/>
      <c r="BV14" s="347"/>
      <c r="BW14" s="75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89" s="592" customFormat="1" x14ac:dyDescent="0.25">
      <c r="A15" s="581" t="s">
        <v>17</v>
      </c>
      <c r="B15" s="582" t="s">
        <v>532</v>
      </c>
      <c r="C15" s="582">
        <v>506000</v>
      </c>
      <c r="D15" s="582">
        <v>381000</v>
      </c>
      <c r="E15" s="582">
        <v>506001</v>
      </c>
      <c r="F15" s="582">
        <f>1663086+1451000+445079</f>
        <v>3559165</v>
      </c>
      <c r="G15" s="582">
        <v>506001</v>
      </c>
      <c r="H15" s="582">
        <v>3766395</v>
      </c>
      <c r="I15" s="582">
        <f>H15+240711+20000+61200+15000</f>
        <v>4103306</v>
      </c>
      <c r="J15" s="582">
        <v>506001</v>
      </c>
      <c r="K15" s="582">
        <v>506001</v>
      </c>
      <c r="L15" s="582">
        <f t="shared" si="21"/>
        <v>506001</v>
      </c>
      <c r="M15" s="583">
        <f t="shared" si="1"/>
        <v>12.331544369345108</v>
      </c>
      <c r="N15" s="583"/>
      <c r="O15" s="582">
        <v>506001</v>
      </c>
      <c r="P15" s="582">
        <v>2337243</v>
      </c>
      <c r="Q15" s="582">
        <v>2597943</v>
      </c>
      <c r="R15" s="582">
        <v>506001</v>
      </c>
      <c r="S15" s="582">
        <v>506001</v>
      </c>
      <c r="T15" s="582">
        <v>3360043</v>
      </c>
      <c r="U15" s="582">
        <f t="shared" si="2"/>
        <v>506001</v>
      </c>
      <c r="V15" s="584">
        <f t="shared" si="3"/>
        <v>506001</v>
      </c>
      <c r="W15" s="584">
        <f t="shared" si="4"/>
        <v>506001</v>
      </c>
      <c r="X15" s="585">
        <f t="shared" si="5"/>
        <v>664.03880624741851</v>
      </c>
      <c r="Y15" s="583"/>
      <c r="Z15" s="586">
        <f t="shared" si="6"/>
        <v>0.15059360847465345</v>
      </c>
      <c r="AA15" s="587">
        <v>3360043</v>
      </c>
      <c r="AB15" s="582">
        <v>526600</v>
      </c>
      <c r="AC15" s="588">
        <v>1272600</v>
      </c>
      <c r="AD15" s="582">
        <v>1843500</v>
      </c>
      <c r="AE15" s="585">
        <f t="shared" si="7"/>
        <v>54.865369282476436</v>
      </c>
      <c r="AF15" s="582">
        <v>3360043</v>
      </c>
      <c r="AG15" s="582">
        <v>2459400</v>
      </c>
      <c r="AH15" s="582">
        <f t="shared" si="8"/>
        <v>2951280</v>
      </c>
      <c r="AI15" s="582">
        <f t="shared" si="9"/>
        <v>3010305.6</v>
      </c>
      <c r="AJ15" s="582"/>
      <c r="AK15" s="582">
        <f t="shared" si="22"/>
        <v>3010305.6</v>
      </c>
      <c r="AL15" s="582"/>
      <c r="AM15" s="582">
        <v>3013842</v>
      </c>
      <c r="AN15" s="588"/>
      <c r="AO15" s="588"/>
      <c r="AP15" s="588">
        <v>3010306</v>
      </c>
      <c r="AQ15" s="582">
        <v>450908</v>
      </c>
      <c r="AR15" s="584">
        <f t="shared" si="10"/>
        <v>2559398</v>
      </c>
      <c r="AS15" s="589">
        <f t="shared" si="11"/>
        <v>14.978809463224005</v>
      </c>
      <c r="AT15" s="582">
        <v>452108</v>
      </c>
      <c r="AU15" s="582">
        <f t="shared" si="12"/>
        <v>2558198</v>
      </c>
      <c r="AV15" s="582">
        <f t="shared" si="13"/>
        <v>84.981327479664856</v>
      </c>
      <c r="AW15" s="590">
        <v>3010306</v>
      </c>
      <c r="AX15" s="590">
        <v>3010306</v>
      </c>
      <c r="AY15" s="584">
        <f t="shared" si="14"/>
        <v>3010306</v>
      </c>
      <c r="AZ15" s="584">
        <f t="shared" si="15"/>
        <v>3010306</v>
      </c>
      <c r="BA15" s="584">
        <f t="shared" si="15"/>
        <v>3010306</v>
      </c>
      <c r="BB15" s="582">
        <v>3010306</v>
      </c>
      <c r="BC15" s="582">
        <v>3010306</v>
      </c>
      <c r="BD15" s="582">
        <v>10500</v>
      </c>
      <c r="BE15" s="582">
        <v>774600</v>
      </c>
      <c r="BF15" s="582">
        <v>1281300</v>
      </c>
      <c r="BG15" s="591">
        <f t="shared" si="16"/>
        <v>1537560</v>
      </c>
      <c r="BH15" s="588">
        <v>1000000</v>
      </c>
      <c r="BI15" s="582">
        <v>1000000</v>
      </c>
      <c r="BJ15" s="593">
        <v>1014100</v>
      </c>
      <c r="BK15" s="582">
        <v>2863283</v>
      </c>
      <c r="BL15" s="584">
        <v>3000000</v>
      </c>
      <c r="BM15" s="582">
        <v>3514883</v>
      </c>
      <c r="BN15" s="582">
        <v>3514883</v>
      </c>
      <c r="BO15" s="582">
        <v>3742579</v>
      </c>
      <c r="BP15" s="582">
        <f t="shared" si="23"/>
        <v>4491094.8000000007</v>
      </c>
      <c r="BQ15" s="588">
        <f>BP15</f>
        <v>4491094.8000000007</v>
      </c>
      <c r="BR15" s="582">
        <v>4491095</v>
      </c>
      <c r="BS15" s="588">
        <v>4491095</v>
      </c>
      <c r="BT15" s="588">
        <v>4491095</v>
      </c>
      <c r="BU15" s="773">
        <v>5000000</v>
      </c>
      <c r="BV15" s="870">
        <v>4757248</v>
      </c>
      <c r="BW15" s="754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1:89" s="592" customFormat="1" x14ac:dyDescent="0.25">
      <c r="A16" s="581" t="s">
        <v>18</v>
      </c>
      <c r="B16" s="582" t="s">
        <v>533</v>
      </c>
      <c r="C16" s="582">
        <v>4084222</v>
      </c>
      <c r="D16" s="582">
        <v>8028617</v>
      </c>
      <c r="E16" s="582">
        <v>5084224</v>
      </c>
      <c r="F16" s="582">
        <f>723465+261270+726400</f>
        <v>1711135</v>
      </c>
      <c r="G16" s="582">
        <v>5084224</v>
      </c>
      <c r="H16" s="582">
        <v>1995044</v>
      </c>
      <c r="I16" s="582">
        <f t="shared" si="0"/>
        <v>2176411.6363636362</v>
      </c>
      <c r="J16" s="582">
        <v>5084224</v>
      </c>
      <c r="K16" s="582">
        <v>5084224</v>
      </c>
      <c r="L16" s="582">
        <f t="shared" si="21"/>
        <v>5084224</v>
      </c>
      <c r="M16" s="583">
        <f t="shared" si="1"/>
        <v>233.60580852686292</v>
      </c>
      <c r="N16" s="583"/>
      <c r="O16" s="582">
        <v>5084224</v>
      </c>
      <c r="P16" s="582">
        <v>2232014</v>
      </c>
      <c r="Q16" s="582">
        <v>2252952</v>
      </c>
      <c r="R16" s="582">
        <v>5084224</v>
      </c>
      <c r="S16" s="582">
        <v>5084224</v>
      </c>
      <c r="T16" s="582">
        <v>2524187</v>
      </c>
      <c r="U16" s="582">
        <f t="shared" si="2"/>
        <v>5084224</v>
      </c>
      <c r="V16" s="584">
        <f t="shared" si="3"/>
        <v>5084224</v>
      </c>
      <c r="W16" s="584">
        <f t="shared" si="4"/>
        <v>5084224</v>
      </c>
      <c r="X16" s="585">
        <f t="shared" si="5"/>
        <v>49.647438822522375</v>
      </c>
      <c r="Y16" s="583"/>
      <c r="Z16" s="586">
        <f t="shared" si="6"/>
        <v>2.0142025927556082</v>
      </c>
      <c r="AA16" s="587">
        <v>2524187</v>
      </c>
      <c r="AB16" s="582">
        <v>1564960</v>
      </c>
      <c r="AC16" s="588">
        <v>2157751</v>
      </c>
      <c r="AD16" s="582">
        <v>2830912</v>
      </c>
      <c r="AE16" s="585">
        <f t="shared" si="7"/>
        <v>112.15143727465518</v>
      </c>
      <c r="AF16" s="582">
        <v>2524187</v>
      </c>
      <c r="AG16" s="582">
        <v>3918085</v>
      </c>
      <c r="AH16" s="582">
        <f t="shared" si="8"/>
        <v>4701702</v>
      </c>
      <c r="AI16" s="582">
        <f>AH16*1.02+3000000</f>
        <v>7795736.04</v>
      </c>
      <c r="AJ16" s="582"/>
      <c r="AK16" s="582">
        <f t="shared" si="22"/>
        <v>7795736.04</v>
      </c>
      <c r="AL16" s="582"/>
      <c r="AM16" s="582">
        <v>7718076</v>
      </c>
      <c r="AN16" s="588"/>
      <c r="AO16" s="588"/>
      <c r="AP16" s="588">
        <v>7795736</v>
      </c>
      <c r="AQ16" s="582">
        <v>6186312</v>
      </c>
      <c r="AR16" s="584">
        <f t="shared" si="10"/>
        <v>1609424</v>
      </c>
      <c r="AS16" s="589">
        <f t="shared" si="11"/>
        <v>79.355073080976581</v>
      </c>
      <c r="AT16" s="582">
        <v>6826617</v>
      </c>
      <c r="AU16" s="582">
        <f t="shared" si="12"/>
        <v>969119</v>
      </c>
      <c r="AV16" s="582">
        <f t="shared" si="13"/>
        <v>12.431398395225287</v>
      </c>
      <c r="AW16" s="590">
        <v>7795736</v>
      </c>
      <c r="AX16" s="590">
        <v>7795736</v>
      </c>
      <c r="AY16" s="584">
        <f t="shared" si="14"/>
        <v>7795736</v>
      </c>
      <c r="AZ16" s="584">
        <f t="shared" si="15"/>
        <v>7795736</v>
      </c>
      <c r="BA16" s="584">
        <f t="shared" si="15"/>
        <v>7795736</v>
      </c>
      <c r="BB16" s="582">
        <v>7795736</v>
      </c>
      <c r="BC16" s="582">
        <v>7795736</v>
      </c>
      <c r="BD16" s="582">
        <v>7914094</v>
      </c>
      <c r="BE16" s="582">
        <v>10752280</v>
      </c>
      <c r="BF16" s="582">
        <v>12062112</v>
      </c>
      <c r="BG16" s="591">
        <f t="shared" si="16"/>
        <v>14474534.399999999</v>
      </c>
      <c r="BH16" s="588">
        <v>19816337</v>
      </c>
      <c r="BI16" s="582">
        <v>19816337</v>
      </c>
      <c r="BJ16" s="582">
        <v>10394430</v>
      </c>
      <c r="BK16" s="582">
        <v>17959192</v>
      </c>
      <c r="BL16" s="584">
        <v>19816337</v>
      </c>
      <c r="BM16" s="582">
        <v>22265397</v>
      </c>
      <c r="BN16" s="582">
        <v>22265397</v>
      </c>
      <c r="BO16" s="582">
        <v>10634064</v>
      </c>
      <c r="BP16" s="582">
        <f t="shared" si="23"/>
        <v>12760876.799999999</v>
      </c>
      <c r="BQ16" s="588">
        <f>BN16</f>
        <v>22265397</v>
      </c>
      <c r="BR16" s="582">
        <v>22265397</v>
      </c>
      <c r="BS16" s="588">
        <v>22265397</v>
      </c>
      <c r="BT16" s="588">
        <v>22265397</v>
      </c>
      <c r="BU16" s="773">
        <v>26000000</v>
      </c>
      <c r="BV16" s="347">
        <v>20895681</v>
      </c>
      <c r="BW16" s="754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75" x14ac:dyDescent="0.25">
      <c r="A17" s="54" t="s">
        <v>19</v>
      </c>
      <c r="B17" s="55" t="s">
        <v>187</v>
      </c>
      <c r="C17" s="55">
        <v>0</v>
      </c>
      <c r="D17" s="55">
        <v>100689</v>
      </c>
      <c r="E17" s="55">
        <v>0</v>
      </c>
      <c r="F17" s="55">
        <v>1575</v>
      </c>
      <c r="G17" s="55">
        <v>0</v>
      </c>
      <c r="H17" s="55">
        <v>1575</v>
      </c>
      <c r="I17" s="55">
        <f t="shared" si="0"/>
        <v>1718.1818181818182</v>
      </c>
      <c r="J17" s="55">
        <v>0</v>
      </c>
      <c r="K17" s="55">
        <v>0</v>
      </c>
      <c r="L17" s="55">
        <f t="shared" si="21"/>
        <v>0</v>
      </c>
      <c r="M17" s="1">
        <f t="shared" si="1"/>
        <v>0</v>
      </c>
      <c r="O17" s="55"/>
      <c r="P17" s="55"/>
      <c r="Q17" s="55"/>
      <c r="R17" s="55">
        <v>0</v>
      </c>
      <c r="S17" s="55"/>
      <c r="T17" s="55"/>
      <c r="U17" s="55">
        <f t="shared" si="2"/>
        <v>0</v>
      </c>
      <c r="V17" s="69">
        <f t="shared" si="3"/>
        <v>0</v>
      </c>
      <c r="W17" s="69">
        <f t="shared" si="4"/>
        <v>0</v>
      </c>
      <c r="X17" s="122"/>
      <c r="Z17" s="140" t="e">
        <f t="shared" si="6"/>
        <v>#DIV/0!</v>
      </c>
      <c r="AA17" s="171"/>
      <c r="AB17" s="55"/>
      <c r="AC17" s="223"/>
      <c r="AD17" s="55">
        <v>42995</v>
      </c>
      <c r="AE17" s="55">
        <v>42995</v>
      </c>
      <c r="AG17" s="55">
        <v>42995</v>
      </c>
      <c r="AH17" s="55">
        <f t="shared" si="8"/>
        <v>51594</v>
      </c>
      <c r="AI17" s="230">
        <f t="shared" si="9"/>
        <v>52625.88</v>
      </c>
      <c r="AK17" s="230">
        <f t="shared" si="22"/>
        <v>52625.88</v>
      </c>
      <c r="AM17" s="55">
        <v>42995</v>
      </c>
      <c r="AN17" s="223"/>
      <c r="AO17" s="223"/>
      <c r="AP17" s="222">
        <v>52626</v>
      </c>
      <c r="AQ17" s="65">
        <v>0</v>
      </c>
      <c r="AR17" s="69">
        <f t="shared" si="10"/>
        <v>52626</v>
      </c>
      <c r="AS17" s="415">
        <f t="shared" si="11"/>
        <v>0</v>
      </c>
      <c r="AT17" s="55"/>
      <c r="AU17" s="55">
        <f t="shared" si="12"/>
        <v>52626</v>
      </c>
      <c r="AV17" s="55">
        <f t="shared" si="13"/>
        <v>100</v>
      </c>
      <c r="AW17" s="430">
        <v>52626</v>
      </c>
      <c r="AX17" s="430">
        <v>0</v>
      </c>
      <c r="AY17" s="69">
        <f t="shared" si="14"/>
        <v>0</v>
      </c>
      <c r="AZ17" s="69">
        <f t="shared" si="15"/>
        <v>0</v>
      </c>
      <c r="BA17" s="69">
        <f t="shared" si="15"/>
        <v>0</v>
      </c>
      <c r="BB17" s="501"/>
      <c r="BE17" s="501"/>
      <c r="BF17" s="221"/>
      <c r="BG17" s="517">
        <f t="shared" si="16"/>
        <v>0</v>
      </c>
      <c r="BH17" s="222"/>
      <c r="BI17" s="65"/>
      <c r="BJ17" s="65">
        <v>1181102</v>
      </c>
      <c r="BK17" s="65">
        <v>1181102</v>
      </c>
      <c r="BL17" s="69">
        <v>0</v>
      </c>
      <c r="BM17" s="55">
        <v>0</v>
      </c>
      <c r="BN17" s="55">
        <v>0</v>
      </c>
      <c r="BO17" s="55"/>
      <c r="BP17" s="65">
        <f t="shared" si="23"/>
        <v>0</v>
      </c>
      <c r="BQ17" s="223"/>
      <c r="BR17" s="65"/>
      <c r="BS17" s="222"/>
      <c r="BT17" s="222"/>
      <c r="BU17" s="774"/>
      <c r="BV17" s="347"/>
    </row>
    <row r="18" spans="1:75" x14ac:dyDescent="0.25">
      <c r="A18" s="54" t="s">
        <v>20</v>
      </c>
      <c r="B18" s="55" t="s">
        <v>188</v>
      </c>
      <c r="C18" s="55">
        <v>6878285</v>
      </c>
      <c r="D18" s="55">
        <v>8040189</v>
      </c>
      <c r="E18" s="55">
        <v>7678285</v>
      </c>
      <c r="F18" s="55">
        <f>6166226+5580573</f>
        <v>11746799</v>
      </c>
      <c r="G18" s="55">
        <v>22678285</v>
      </c>
      <c r="H18" s="55">
        <f>12939386+90000</f>
        <v>13029386</v>
      </c>
      <c r="I18" s="55">
        <f>H18+1825689</f>
        <v>14855075</v>
      </c>
      <c r="J18" s="55">
        <v>7678285</v>
      </c>
      <c r="K18" s="55">
        <v>13029386</v>
      </c>
      <c r="L18" s="66">
        <f>H18</f>
        <v>13029386</v>
      </c>
      <c r="M18" s="1">
        <f t="shared" si="1"/>
        <v>87.709998098293013</v>
      </c>
      <c r="O18" s="55">
        <v>13029386</v>
      </c>
      <c r="P18" s="55">
        <v>8041741</v>
      </c>
      <c r="Q18" s="55">
        <v>8680883</v>
      </c>
      <c r="R18" s="55">
        <v>9000000</v>
      </c>
      <c r="S18" s="55">
        <v>13029386</v>
      </c>
      <c r="T18" s="55">
        <v>10707489</v>
      </c>
      <c r="U18" s="55">
        <f t="shared" si="2"/>
        <v>9000000</v>
      </c>
      <c r="V18" s="69">
        <f t="shared" si="3"/>
        <v>9000000</v>
      </c>
      <c r="W18" s="69">
        <f t="shared" si="4"/>
        <v>9000000</v>
      </c>
      <c r="X18" s="122">
        <f t="shared" si="5"/>
        <v>118.9721</v>
      </c>
      <c r="Z18" s="140">
        <f t="shared" si="6"/>
        <v>0.84053320064115877</v>
      </c>
      <c r="AA18" s="171">
        <v>10707489</v>
      </c>
      <c r="AB18" s="55">
        <v>7013648</v>
      </c>
      <c r="AC18" s="223">
        <v>8676311</v>
      </c>
      <c r="AD18" s="55">
        <v>9943764</v>
      </c>
      <c r="AE18" s="122">
        <f t="shared" si="7"/>
        <v>92.867375348225906</v>
      </c>
      <c r="AF18" s="55">
        <v>10707489</v>
      </c>
      <c r="AG18" s="55">
        <v>6063336</v>
      </c>
      <c r="AH18" s="55">
        <f t="shared" si="8"/>
        <v>7276003.1999999993</v>
      </c>
      <c r="AI18" s="230">
        <f>AH18*1.02+5322455+4500000</f>
        <v>17243978.263999999</v>
      </c>
      <c r="AK18" s="230">
        <f t="shared" si="22"/>
        <v>17243978.263999999</v>
      </c>
      <c r="AM18" s="55">
        <v>14482848</v>
      </c>
      <c r="AN18" s="223"/>
      <c r="AO18" s="223"/>
      <c r="AP18" s="222">
        <v>17243978</v>
      </c>
      <c r="AQ18" s="65">
        <v>9450384</v>
      </c>
      <c r="AR18" s="69">
        <f t="shared" si="10"/>
        <v>7793594</v>
      </c>
      <c r="AS18" s="415">
        <f t="shared" si="11"/>
        <v>54.803966926888911</v>
      </c>
      <c r="AT18" s="55">
        <v>12755236</v>
      </c>
      <c r="AU18" s="55">
        <f t="shared" si="12"/>
        <v>4488742</v>
      </c>
      <c r="AV18" s="55">
        <f t="shared" si="13"/>
        <v>26.030780136694677</v>
      </c>
      <c r="AW18" s="430">
        <v>17243978</v>
      </c>
      <c r="AX18" s="430">
        <v>17243978</v>
      </c>
      <c r="AY18" s="69">
        <f t="shared" si="14"/>
        <v>17243978</v>
      </c>
      <c r="AZ18" s="69">
        <f t="shared" si="15"/>
        <v>17243978</v>
      </c>
      <c r="BA18" s="69">
        <f t="shared" si="15"/>
        <v>17243978</v>
      </c>
      <c r="BB18" s="505">
        <v>17243978</v>
      </c>
      <c r="BC18" s="505">
        <v>17243978</v>
      </c>
      <c r="BD18" s="505">
        <v>24573182</v>
      </c>
      <c r="BE18" s="508">
        <v>8277358</v>
      </c>
      <c r="BF18" s="221">
        <v>8903626</v>
      </c>
      <c r="BG18" s="517">
        <f t="shared" si="16"/>
        <v>10684351.199999999</v>
      </c>
      <c r="BH18" s="580">
        <v>33619084</v>
      </c>
      <c r="BI18" s="65">
        <v>33619084</v>
      </c>
      <c r="BJ18" s="65">
        <v>8312171</v>
      </c>
      <c r="BK18" s="65">
        <v>16153868</v>
      </c>
      <c r="BL18" s="69">
        <f t="shared" si="19"/>
        <v>19384641.600000001</v>
      </c>
      <c r="BM18" s="55">
        <f>BL18+1200000</f>
        <v>20584641.600000001</v>
      </c>
      <c r="BN18" s="55">
        <v>20584642</v>
      </c>
      <c r="BO18" s="55">
        <v>23176647</v>
      </c>
      <c r="BP18" s="65">
        <f t="shared" si="23"/>
        <v>27811976.400000002</v>
      </c>
      <c r="BQ18" s="223">
        <f>BP18</f>
        <v>27811976.400000002</v>
      </c>
      <c r="BR18" s="65">
        <v>27811976</v>
      </c>
      <c r="BS18" s="222">
        <v>27811976</v>
      </c>
      <c r="BT18" s="222">
        <v>27811976</v>
      </c>
      <c r="BU18" s="774">
        <v>76977997</v>
      </c>
      <c r="BV18" s="347">
        <v>76977997</v>
      </c>
    </row>
    <row r="19" spans="1:75" x14ac:dyDescent="0.25">
      <c r="A19" s="54" t="s">
        <v>21</v>
      </c>
      <c r="B19" s="55" t="s">
        <v>189</v>
      </c>
      <c r="C19" s="55">
        <v>461558</v>
      </c>
      <c r="D19" s="55">
        <v>331242</v>
      </c>
      <c r="E19" s="55">
        <v>15461558</v>
      </c>
      <c r="F19" s="55">
        <f>176378</f>
        <v>176378</v>
      </c>
      <c r="G19" s="55">
        <v>461558</v>
      </c>
      <c r="H19" s="55">
        <v>272224</v>
      </c>
      <c r="I19" s="55">
        <f t="shared" si="0"/>
        <v>296971.63636363635</v>
      </c>
      <c r="J19" s="55">
        <v>15461558</v>
      </c>
      <c r="K19" s="55">
        <v>461558</v>
      </c>
      <c r="L19" s="66">
        <f>E19-15000000</f>
        <v>461558</v>
      </c>
      <c r="M19" s="1">
        <f t="shared" si="1"/>
        <v>155.42157683868189</v>
      </c>
      <c r="O19" s="55">
        <v>461558</v>
      </c>
      <c r="P19" s="55">
        <v>133858</v>
      </c>
      <c r="Q19" s="55">
        <v>133858</v>
      </c>
      <c r="R19" s="55">
        <v>200000</v>
      </c>
      <c r="S19" s="55">
        <v>461558</v>
      </c>
      <c r="T19" s="55">
        <v>133858</v>
      </c>
      <c r="U19" s="55">
        <f t="shared" si="2"/>
        <v>200000</v>
      </c>
      <c r="V19" s="69">
        <f t="shared" si="3"/>
        <v>200000</v>
      </c>
      <c r="W19" s="69">
        <f t="shared" si="4"/>
        <v>200000</v>
      </c>
      <c r="X19" s="122">
        <f t="shared" si="5"/>
        <v>66.929000000000002</v>
      </c>
      <c r="Z19" s="140">
        <f t="shared" si="6"/>
        <v>1.4941206353000942</v>
      </c>
      <c r="AA19" s="171">
        <v>133858</v>
      </c>
      <c r="AB19" s="55">
        <v>100925</v>
      </c>
      <c r="AC19" s="223">
        <v>100925</v>
      </c>
      <c r="AD19" s="55">
        <v>100925</v>
      </c>
      <c r="AE19" s="55">
        <v>100925</v>
      </c>
      <c r="AF19" s="55">
        <v>133859</v>
      </c>
      <c r="AG19" s="55">
        <v>100925</v>
      </c>
      <c r="AH19" s="55">
        <f t="shared" si="8"/>
        <v>121110</v>
      </c>
      <c r="AI19" s="230">
        <f t="shared" si="9"/>
        <v>123532.2</v>
      </c>
      <c r="AK19" s="230">
        <f t="shared" si="22"/>
        <v>123532.2</v>
      </c>
      <c r="AM19" s="55">
        <v>100925</v>
      </c>
      <c r="AN19" s="223"/>
      <c r="AO19" s="223"/>
      <c r="AP19" s="222">
        <v>123528</v>
      </c>
      <c r="AR19" s="69">
        <f t="shared" si="10"/>
        <v>123528</v>
      </c>
      <c r="AS19" s="415">
        <f t="shared" si="11"/>
        <v>0</v>
      </c>
      <c r="AT19" s="55"/>
      <c r="AU19" s="55">
        <f t="shared" si="12"/>
        <v>123528</v>
      </c>
      <c r="AV19" s="55">
        <f t="shared" si="13"/>
        <v>100</v>
      </c>
      <c r="AW19" s="430">
        <v>123528</v>
      </c>
      <c r="AX19" s="430">
        <v>0</v>
      </c>
      <c r="AY19" s="69">
        <f t="shared" si="14"/>
        <v>0</v>
      </c>
      <c r="AZ19" s="69">
        <f t="shared" si="15"/>
        <v>0</v>
      </c>
      <c r="BA19" s="69">
        <f t="shared" si="15"/>
        <v>0</v>
      </c>
      <c r="BB19" s="501">
        <v>0</v>
      </c>
      <c r="BC19" s="501">
        <v>0</v>
      </c>
      <c r="BD19" s="501">
        <v>14704</v>
      </c>
      <c r="BE19" s="501">
        <v>176404</v>
      </c>
      <c r="BF19" s="221">
        <v>212717</v>
      </c>
      <c r="BG19" s="517">
        <f t="shared" si="16"/>
        <v>255260.40000000002</v>
      </c>
      <c r="BH19" s="222">
        <v>200000</v>
      </c>
      <c r="BI19" s="65">
        <v>200000</v>
      </c>
      <c r="BJ19" s="65">
        <v>272408</v>
      </c>
      <c r="BK19" s="65">
        <v>527918</v>
      </c>
      <c r="BL19" s="69">
        <f t="shared" si="19"/>
        <v>633501.60000000009</v>
      </c>
      <c r="BM19" s="55">
        <v>650000</v>
      </c>
      <c r="BN19" s="55">
        <v>650000</v>
      </c>
      <c r="BO19" s="55">
        <v>0</v>
      </c>
      <c r="BP19" s="65">
        <f t="shared" si="23"/>
        <v>0</v>
      </c>
      <c r="BQ19" s="223"/>
      <c r="BR19" s="55"/>
      <c r="BS19" s="223"/>
      <c r="BT19" s="223"/>
      <c r="BU19" s="727"/>
      <c r="BV19" s="347"/>
    </row>
    <row r="20" spans="1:75" x14ac:dyDescent="0.25">
      <c r="A20" s="54" t="s">
        <v>22</v>
      </c>
      <c r="B20" s="58" t="s">
        <v>194</v>
      </c>
      <c r="C20" s="55">
        <v>0</v>
      </c>
      <c r="D20" s="55">
        <v>0</v>
      </c>
      <c r="E20" s="55">
        <v>0</v>
      </c>
      <c r="F20" s="55"/>
      <c r="G20" s="55"/>
      <c r="H20" s="55"/>
      <c r="I20" s="55">
        <f t="shared" si="0"/>
        <v>0</v>
      </c>
      <c r="J20" s="55">
        <v>0</v>
      </c>
      <c r="K20" s="55">
        <v>0</v>
      </c>
      <c r="L20" s="55">
        <f t="shared" si="21"/>
        <v>0</v>
      </c>
      <c r="M20" s="1">
        <f t="shared" si="1"/>
        <v>0</v>
      </c>
      <c r="O20" s="55"/>
      <c r="P20" s="55"/>
      <c r="Q20" s="55"/>
      <c r="R20" s="55">
        <v>0</v>
      </c>
      <c r="S20" s="55"/>
      <c r="T20" s="55"/>
      <c r="U20" s="55">
        <f>R20</f>
        <v>0</v>
      </c>
      <c r="V20" s="69">
        <f t="shared" si="3"/>
        <v>0</v>
      </c>
      <c r="W20" s="69">
        <f t="shared" si="4"/>
        <v>0</v>
      </c>
      <c r="X20" s="122"/>
      <c r="Z20" s="140" t="e">
        <f t="shared" si="6"/>
        <v>#DIV/0!</v>
      </c>
      <c r="AA20" s="171"/>
      <c r="AB20" s="55"/>
      <c r="AC20" s="223"/>
      <c r="AE20" s="122"/>
      <c r="AH20" s="55">
        <f t="shared" si="8"/>
        <v>0</v>
      </c>
      <c r="AI20" s="230">
        <f t="shared" si="9"/>
        <v>0</v>
      </c>
      <c r="AK20" s="230">
        <f t="shared" si="22"/>
        <v>0</v>
      </c>
      <c r="AN20" s="223"/>
      <c r="AO20" s="223"/>
      <c r="AP20" s="222"/>
      <c r="AR20" s="69">
        <f t="shared" si="10"/>
        <v>0</v>
      </c>
      <c r="AT20" s="55"/>
      <c r="AU20" s="55"/>
      <c r="AV20" s="55"/>
      <c r="AW20" s="430">
        <v>0</v>
      </c>
      <c r="AX20" s="430">
        <v>0</v>
      </c>
      <c r="AY20" s="69">
        <f t="shared" si="14"/>
        <v>0</v>
      </c>
      <c r="AZ20" s="69">
        <f t="shared" si="15"/>
        <v>0</v>
      </c>
      <c r="BA20" s="69">
        <f t="shared" si="15"/>
        <v>0</v>
      </c>
      <c r="BB20" s="501"/>
      <c r="BE20" s="501"/>
      <c r="BF20" s="221"/>
      <c r="BG20" s="517">
        <f t="shared" si="16"/>
        <v>0</v>
      </c>
      <c r="BH20" s="222"/>
      <c r="BI20" s="65"/>
      <c r="BJ20" s="65"/>
      <c r="BK20" s="65"/>
      <c r="BL20" s="69">
        <f t="shared" si="19"/>
        <v>0</v>
      </c>
      <c r="BM20" s="55"/>
      <c r="BN20" s="55"/>
      <c r="BO20" s="55"/>
      <c r="BP20" s="65">
        <f t="shared" si="23"/>
        <v>0</v>
      </c>
      <c r="BQ20" s="223"/>
      <c r="BR20" s="55"/>
      <c r="BS20" s="223"/>
      <c r="BT20" s="245">
        <v>3000000</v>
      </c>
      <c r="BU20" s="768"/>
      <c r="BV20" s="347"/>
      <c r="BW20" s="754" t="s">
        <v>786</v>
      </c>
    </row>
    <row r="21" spans="1:75" x14ac:dyDescent="0.25">
      <c r="A21" s="54" t="s">
        <v>245</v>
      </c>
      <c r="B21" s="58" t="s">
        <v>246</v>
      </c>
      <c r="C21" s="55"/>
      <c r="D21" s="55"/>
      <c r="E21" s="55"/>
      <c r="F21" s="55"/>
      <c r="G21" s="55"/>
      <c r="H21" s="55"/>
      <c r="I21" s="55">
        <f t="shared" si="0"/>
        <v>0</v>
      </c>
      <c r="J21" s="55"/>
      <c r="K21" s="55"/>
      <c r="L21" s="55"/>
      <c r="M21" s="1">
        <f t="shared" si="1"/>
        <v>0</v>
      </c>
      <c r="O21" s="55"/>
      <c r="P21" s="55"/>
      <c r="Q21" s="55"/>
      <c r="R21" s="55"/>
      <c r="S21" s="55"/>
      <c r="T21" s="55"/>
      <c r="U21" s="55">
        <f t="shared" si="2"/>
        <v>0</v>
      </c>
      <c r="V21" s="69">
        <f t="shared" si="3"/>
        <v>0</v>
      </c>
      <c r="W21" s="69">
        <f t="shared" si="4"/>
        <v>0</v>
      </c>
      <c r="X21" s="122"/>
      <c r="Z21" s="140" t="e">
        <f t="shared" si="6"/>
        <v>#DIV/0!</v>
      </c>
      <c r="AA21" s="171"/>
      <c r="AB21" s="55"/>
      <c r="AC21" s="223"/>
      <c r="AE21" s="122"/>
      <c r="AH21" s="55">
        <f t="shared" si="8"/>
        <v>0</v>
      </c>
      <c r="AI21" s="230">
        <f t="shared" si="9"/>
        <v>0</v>
      </c>
      <c r="AK21" s="230">
        <f t="shared" si="22"/>
        <v>0</v>
      </c>
      <c r="AN21" s="223"/>
      <c r="AO21" s="223"/>
      <c r="AP21" s="222"/>
      <c r="AR21" s="69">
        <f t="shared" si="10"/>
        <v>0</v>
      </c>
      <c r="AT21" s="55"/>
      <c r="AU21" s="55"/>
      <c r="AV21" s="55"/>
      <c r="AW21" s="430">
        <v>0</v>
      </c>
      <c r="AX21" s="430">
        <v>0</v>
      </c>
      <c r="AY21" s="69">
        <f t="shared" si="14"/>
        <v>0</v>
      </c>
      <c r="AZ21" s="69">
        <f t="shared" si="15"/>
        <v>0</v>
      </c>
      <c r="BA21" s="69">
        <f t="shared" si="15"/>
        <v>0</v>
      </c>
      <c r="BB21" s="501"/>
      <c r="BE21" s="501"/>
      <c r="BF21" s="221"/>
      <c r="BG21" s="517">
        <f t="shared" si="16"/>
        <v>0</v>
      </c>
      <c r="BH21" s="222"/>
      <c r="BI21" s="65"/>
      <c r="BJ21" s="65"/>
      <c r="BK21" s="65"/>
      <c r="BL21" s="69">
        <f t="shared" si="19"/>
        <v>0</v>
      </c>
      <c r="BM21" s="55"/>
      <c r="BN21" s="55"/>
      <c r="BO21" s="55"/>
      <c r="BP21" s="65">
        <f t="shared" si="23"/>
        <v>0</v>
      </c>
      <c r="BQ21" s="223"/>
      <c r="BR21" s="55"/>
      <c r="BS21" s="223"/>
      <c r="BT21" s="223"/>
      <c r="BU21" s="727"/>
      <c r="BV21" s="347"/>
      <c r="BW21" s="776"/>
    </row>
    <row r="22" spans="1:75" x14ac:dyDescent="0.25">
      <c r="A22" s="54" t="s">
        <v>23</v>
      </c>
      <c r="B22" s="55" t="s">
        <v>190</v>
      </c>
      <c r="C22" s="55">
        <v>1523686</v>
      </c>
      <c r="D22" s="55">
        <v>2379107</v>
      </c>
      <c r="E22" s="55">
        <v>1739686</v>
      </c>
      <c r="F22" s="55">
        <v>3972529</v>
      </c>
      <c r="G22" s="55">
        <v>1739686</v>
      </c>
      <c r="H22" s="55">
        <v>4538212</v>
      </c>
      <c r="I22" s="55">
        <f t="shared" si="0"/>
        <v>4950776.7272727275</v>
      </c>
      <c r="J22" s="55">
        <v>1739686</v>
      </c>
      <c r="K22" s="55">
        <v>1739686</v>
      </c>
      <c r="L22" s="55">
        <f t="shared" si="21"/>
        <v>1739686</v>
      </c>
      <c r="M22" s="1">
        <f t="shared" si="1"/>
        <v>35.139657791805817</v>
      </c>
      <c r="O22" s="55">
        <v>1739686</v>
      </c>
      <c r="P22" s="70">
        <v>10637944</v>
      </c>
      <c r="Q22" s="55">
        <v>10803261</v>
      </c>
      <c r="R22" s="55">
        <f>R18*0.27</f>
        <v>2430000</v>
      </c>
      <c r="S22" s="55">
        <v>1739686</v>
      </c>
      <c r="T22" s="55">
        <v>14309013</v>
      </c>
      <c r="U22" s="55">
        <f t="shared" si="2"/>
        <v>2430000</v>
      </c>
      <c r="V22" s="69">
        <f t="shared" si="3"/>
        <v>2430000</v>
      </c>
      <c r="W22" s="69">
        <f t="shared" si="4"/>
        <v>2430000</v>
      </c>
      <c r="X22" s="122">
        <f t="shared" si="5"/>
        <v>588.8482716049383</v>
      </c>
      <c r="Z22" s="140">
        <f t="shared" si="6"/>
        <v>0.16982303391575646</v>
      </c>
      <c r="AA22" s="171">
        <f>AA18*0.27</f>
        <v>2891022.0300000003</v>
      </c>
      <c r="AB22" s="55">
        <v>9708120</v>
      </c>
      <c r="AC22" s="223">
        <v>16529377</v>
      </c>
      <c r="AD22" s="55">
        <v>17213808</v>
      </c>
      <c r="AE22" s="122">
        <f t="shared" si="7"/>
        <v>595.42292730297868</v>
      </c>
      <c r="AF22" s="55">
        <v>2891022</v>
      </c>
      <c r="AG22" s="55">
        <v>19499094</v>
      </c>
      <c r="AH22" s="55">
        <f t="shared" si="8"/>
        <v>23398912.799999997</v>
      </c>
      <c r="AI22" s="288">
        <f>AI27*0.27</f>
        <v>14310000.000000002</v>
      </c>
      <c r="AJ22" s="288"/>
      <c r="AK22" s="230">
        <f t="shared" si="22"/>
        <v>14310000.000000002</v>
      </c>
      <c r="AL22" s="55" t="s">
        <v>530</v>
      </c>
      <c r="AM22" s="55">
        <v>40245914</v>
      </c>
      <c r="AN22" s="223"/>
      <c r="AO22" s="223"/>
      <c r="AP22" s="222">
        <v>14310000</v>
      </c>
      <c r="AQ22" s="65">
        <v>377303</v>
      </c>
      <c r="AR22" s="69">
        <f t="shared" si="10"/>
        <v>13932697</v>
      </c>
      <c r="AS22" s="415">
        <f t="shared" si="11"/>
        <v>2.6366387141858838</v>
      </c>
      <c r="AT22" s="55">
        <v>1360694</v>
      </c>
      <c r="AU22" s="55">
        <f t="shared" si="12"/>
        <v>12949306</v>
      </c>
      <c r="AV22" s="55">
        <f t="shared" si="13"/>
        <v>90.491306778476584</v>
      </c>
      <c r="AW22" s="430">
        <v>4655874</v>
      </c>
      <c r="AX22" s="430">
        <v>4655874</v>
      </c>
      <c r="AY22" s="69">
        <f t="shared" si="14"/>
        <v>4655874</v>
      </c>
      <c r="AZ22" s="69">
        <f t="shared" si="15"/>
        <v>4655874</v>
      </c>
      <c r="BA22" s="69">
        <f t="shared" si="15"/>
        <v>4655874</v>
      </c>
      <c r="BB22" s="501">
        <v>4655874</v>
      </c>
      <c r="BC22" s="501">
        <v>4655874</v>
      </c>
      <c r="BD22" s="501">
        <v>33980335</v>
      </c>
      <c r="BE22" s="501">
        <v>35513298</v>
      </c>
      <c r="BF22" s="221">
        <v>35665705</v>
      </c>
      <c r="BG22" s="517">
        <f t="shared" si="16"/>
        <v>42798846</v>
      </c>
      <c r="BH22" s="222">
        <v>8996152</v>
      </c>
      <c r="BI22" s="65">
        <v>8996152</v>
      </c>
      <c r="BJ22" s="222">
        <v>3271542</v>
      </c>
      <c r="BK22" s="65">
        <v>4864584</v>
      </c>
      <c r="BL22" s="69">
        <f t="shared" si="19"/>
        <v>5837500.8000000007</v>
      </c>
      <c r="BM22" s="55">
        <f>SUM(BM18:BM21)*0.18</f>
        <v>3822235.4879999999</v>
      </c>
      <c r="BN22" s="55">
        <v>3822235</v>
      </c>
      <c r="BO22" s="55">
        <v>4602318</v>
      </c>
      <c r="BP22" s="65">
        <f t="shared" si="23"/>
        <v>5522781.5999999996</v>
      </c>
      <c r="BQ22" s="223">
        <v>5500000</v>
      </c>
      <c r="BR22" s="55">
        <v>5500000</v>
      </c>
      <c r="BS22" s="223">
        <v>5500000</v>
      </c>
      <c r="BT22" s="245">
        <f>5500000+62000000</f>
        <v>67500000</v>
      </c>
      <c r="BU22" s="772">
        <v>45300000</v>
      </c>
      <c r="BV22" s="347">
        <v>20528693</v>
      </c>
    </row>
    <row r="23" spans="1:75" x14ac:dyDescent="0.25">
      <c r="A23" s="54" t="s">
        <v>758</v>
      </c>
      <c r="B23" s="65" t="s">
        <v>759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14"/>
      <c r="N23" s="14"/>
      <c r="O23" s="65"/>
      <c r="P23" s="65"/>
      <c r="Q23" s="65"/>
      <c r="R23" s="65"/>
      <c r="S23" s="65"/>
      <c r="T23" s="65"/>
      <c r="U23" s="65"/>
      <c r="V23" s="69"/>
      <c r="W23" s="69"/>
      <c r="X23" s="121"/>
      <c r="Y23" s="14"/>
      <c r="Z23" s="226"/>
      <c r="AA23" s="227"/>
      <c r="AB23" s="65"/>
      <c r="AC23" s="222"/>
      <c r="AD23" s="65"/>
      <c r="AE23" s="121"/>
      <c r="AF23" s="65"/>
      <c r="AG23" s="65"/>
      <c r="AH23" s="65"/>
      <c r="AI23" s="65"/>
      <c r="AJ23" s="65"/>
      <c r="AK23" s="65"/>
      <c r="AL23" s="65"/>
      <c r="AM23" s="65"/>
      <c r="AN23" s="222"/>
      <c r="AO23" s="222"/>
      <c r="AP23" s="222"/>
      <c r="AR23" s="69"/>
      <c r="AT23" s="65"/>
      <c r="AU23" s="65"/>
      <c r="AV23" s="65"/>
      <c r="AW23" s="430"/>
      <c r="AX23" s="430"/>
      <c r="AY23" s="69"/>
      <c r="AZ23" s="69"/>
      <c r="BA23" s="69"/>
      <c r="BB23" s="65"/>
      <c r="BC23" s="65"/>
      <c r="BD23" s="65"/>
      <c r="BE23" s="65"/>
      <c r="BF23" s="65"/>
      <c r="BG23" s="52"/>
      <c r="BH23" s="222"/>
      <c r="BI23" s="65"/>
      <c r="BJ23" s="222"/>
      <c r="BK23" s="65"/>
      <c r="BL23" s="69"/>
      <c r="BM23" s="65"/>
      <c r="BN23" s="65"/>
      <c r="BO23" s="65"/>
      <c r="BP23" s="65"/>
      <c r="BQ23" s="222"/>
      <c r="BR23" s="65"/>
      <c r="BS23" s="222"/>
      <c r="BT23" s="222"/>
      <c r="BU23" s="775">
        <v>5000000</v>
      </c>
      <c r="BV23" s="347">
        <v>3950000</v>
      </c>
      <c r="BW23" s="761"/>
    </row>
    <row r="24" spans="1:75" x14ac:dyDescent="0.25">
      <c r="A24" s="54" t="s">
        <v>24</v>
      </c>
      <c r="B24" s="58" t="s">
        <v>195</v>
      </c>
      <c r="C24" s="55">
        <v>2732</v>
      </c>
      <c r="D24" s="55">
        <v>51142</v>
      </c>
      <c r="E24" s="55">
        <v>2732</v>
      </c>
      <c r="F24" s="55">
        <f>23+197720</f>
        <v>197743</v>
      </c>
      <c r="G24" s="55">
        <v>2732</v>
      </c>
      <c r="H24" s="55">
        <v>227673</v>
      </c>
      <c r="I24" s="55">
        <f t="shared" si="0"/>
        <v>248370.54545454547</v>
      </c>
      <c r="J24" s="55">
        <v>2732</v>
      </c>
      <c r="K24" s="55">
        <v>2732</v>
      </c>
      <c r="L24" s="55">
        <f t="shared" si="21"/>
        <v>2732</v>
      </c>
      <c r="M24" s="1">
        <f t="shared" si="1"/>
        <v>1.0999694005584031</v>
      </c>
      <c r="O24" s="55">
        <v>2732</v>
      </c>
      <c r="P24" s="55">
        <v>2677</v>
      </c>
      <c r="Q24" s="55">
        <v>2677</v>
      </c>
      <c r="R24" s="55">
        <v>3000</v>
      </c>
      <c r="S24" s="55">
        <v>2732</v>
      </c>
      <c r="T24" s="55">
        <v>2760</v>
      </c>
      <c r="U24" s="55">
        <f t="shared" si="2"/>
        <v>3000</v>
      </c>
      <c r="V24" s="69">
        <f t="shared" si="3"/>
        <v>3000</v>
      </c>
      <c r="W24" s="69">
        <f t="shared" si="4"/>
        <v>3000</v>
      </c>
      <c r="X24" s="122">
        <f t="shared" si="5"/>
        <v>92</v>
      </c>
      <c r="Z24" s="140">
        <f t="shared" si="6"/>
        <v>1.0869565217391304</v>
      </c>
      <c r="AA24" s="171">
        <v>3000</v>
      </c>
      <c r="AB24" s="55">
        <v>138</v>
      </c>
      <c r="AC24" s="223">
        <v>173</v>
      </c>
      <c r="AD24" s="55">
        <v>1842</v>
      </c>
      <c r="AE24" s="55">
        <v>1842</v>
      </c>
      <c r="AF24" s="55">
        <v>3000</v>
      </c>
      <c r="AG24" s="55">
        <v>1842</v>
      </c>
      <c r="AH24" s="55">
        <f t="shared" si="8"/>
        <v>2210.3999999999996</v>
      </c>
      <c r="AI24" s="230">
        <f t="shared" si="9"/>
        <v>2254.6079999999997</v>
      </c>
      <c r="AK24" s="230">
        <f t="shared" si="22"/>
        <v>2254.6079999999997</v>
      </c>
      <c r="AM24" s="55">
        <v>1842</v>
      </c>
      <c r="AN24" s="223"/>
      <c r="AO24" s="223"/>
      <c r="AP24" s="222">
        <v>2255</v>
      </c>
      <c r="AQ24" s="65">
        <v>17</v>
      </c>
      <c r="AR24" s="69">
        <f t="shared" si="10"/>
        <v>2238</v>
      </c>
      <c r="AS24" s="415">
        <f t="shared" si="11"/>
        <v>0.75388026607538805</v>
      </c>
      <c r="AT24" s="55">
        <v>17</v>
      </c>
      <c r="AU24" s="55">
        <f t="shared" si="12"/>
        <v>2238</v>
      </c>
      <c r="AV24" s="55">
        <f t="shared" si="13"/>
        <v>99.246119733924616</v>
      </c>
      <c r="AW24" s="430">
        <v>2255</v>
      </c>
      <c r="AX24" s="430">
        <v>1000</v>
      </c>
      <c r="AY24" s="69">
        <f t="shared" si="14"/>
        <v>1000</v>
      </c>
      <c r="AZ24" s="69">
        <f t="shared" si="15"/>
        <v>1000</v>
      </c>
      <c r="BA24" s="69">
        <f t="shared" si="15"/>
        <v>1000</v>
      </c>
      <c r="BB24" s="501">
        <v>1000</v>
      </c>
      <c r="BC24" s="501">
        <v>1000</v>
      </c>
      <c r="BD24" s="501">
        <v>0</v>
      </c>
      <c r="BE24" s="501">
        <v>0</v>
      </c>
      <c r="BF24" s="221"/>
      <c r="BG24" s="517">
        <f t="shared" si="16"/>
        <v>0</v>
      </c>
      <c r="BH24" s="222">
        <v>1000</v>
      </c>
      <c r="BI24" s="65">
        <v>1000</v>
      </c>
      <c r="BJ24" s="65">
        <v>9892</v>
      </c>
      <c r="BK24" s="65">
        <v>9892</v>
      </c>
      <c r="BL24" s="69">
        <v>10000</v>
      </c>
      <c r="BM24" s="55">
        <v>10000</v>
      </c>
      <c r="BN24" s="55">
        <v>10000</v>
      </c>
      <c r="BO24" s="55">
        <v>0</v>
      </c>
      <c r="BP24" s="65">
        <f t="shared" si="23"/>
        <v>0</v>
      </c>
      <c r="BQ24" s="223"/>
      <c r="BR24" s="55"/>
      <c r="BS24" s="223"/>
      <c r="BT24" s="223"/>
      <c r="BU24" s="727"/>
      <c r="BV24" s="347"/>
    </row>
    <row r="25" spans="1:75" x14ac:dyDescent="0.25">
      <c r="A25" s="54" t="s">
        <v>25</v>
      </c>
      <c r="B25" s="55" t="s">
        <v>191</v>
      </c>
      <c r="C25" s="55">
        <v>0</v>
      </c>
      <c r="D25" s="55">
        <v>0</v>
      </c>
      <c r="E25" s="55">
        <v>0</v>
      </c>
      <c r="F25" s="55">
        <v>590088</v>
      </c>
      <c r="G25" s="55">
        <v>0</v>
      </c>
      <c r="H25" s="55">
        <v>590088</v>
      </c>
      <c r="I25" s="55">
        <f>H25</f>
        <v>590088</v>
      </c>
      <c r="J25" s="55">
        <v>0</v>
      </c>
      <c r="K25" s="55">
        <v>0</v>
      </c>
      <c r="L25" s="55">
        <f t="shared" si="21"/>
        <v>0</v>
      </c>
      <c r="M25" s="1">
        <f t="shared" si="1"/>
        <v>0</v>
      </c>
      <c r="O25" s="55"/>
      <c r="P25" s="55"/>
      <c r="Q25" s="55"/>
      <c r="R25" s="55"/>
      <c r="S25" s="55"/>
      <c r="T25" s="55"/>
      <c r="U25" s="55">
        <f t="shared" si="2"/>
        <v>0</v>
      </c>
      <c r="V25" s="69">
        <f t="shared" si="3"/>
        <v>0</v>
      </c>
      <c r="W25" s="69">
        <f t="shared" si="4"/>
        <v>0</v>
      </c>
      <c r="X25" s="122"/>
      <c r="Z25" s="140" t="e">
        <f t="shared" si="6"/>
        <v>#DIV/0!</v>
      </c>
      <c r="AA25" s="171"/>
      <c r="AB25" s="55"/>
      <c r="AC25" s="223"/>
      <c r="AE25" s="122"/>
      <c r="AH25" s="55">
        <f t="shared" si="8"/>
        <v>0</v>
      </c>
      <c r="AI25" s="230">
        <f t="shared" si="9"/>
        <v>0</v>
      </c>
      <c r="AK25" s="230">
        <f t="shared" si="22"/>
        <v>0</v>
      </c>
      <c r="AN25" s="223"/>
      <c r="AO25" s="223"/>
      <c r="AP25" s="222">
        <v>118422</v>
      </c>
      <c r="AQ25" s="65">
        <v>0</v>
      </c>
      <c r="AR25" s="69">
        <f t="shared" si="10"/>
        <v>118422</v>
      </c>
      <c r="AS25" s="415">
        <f t="shared" si="11"/>
        <v>0</v>
      </c>
      <c r="AT25" s="55"/>
      <c r="AU25" s="55">
        <f t="shared" si="12"/>
        <v>118422</v>
      </c>
      <c r="AV25" s="55">
        <f t="shared" si="13"/>
        <v>100</v>
      </c>
      <c r="AW25" s="430">
        <v>118422</v>
      </c>
      <c r="AX25" s="430"/>
      <c r="AY25" s="69">
        <f t="shared" si="14"/>
        <v>0</v>
      </c>
      <c r="AZ25" s="69">
        <f t="shared" si="15"/>
        <v>0</v>
      </c>
      <c r="BA25" s="69">
        <f t="shared" si="15"/>
        <v>0</v>
      </c>
      <c r="BB25" s="501"/>
      <c r="BE25" s="501"/>
      <c r="BF25" s="221"/>
      <c r="BG25" s="517">
        <f t="shared" si="16"/>
        <v>0</v>
      </c>
      <c r="BH25" s="222"/>
      <c r="BI25" s="65"/>
      <c r="BJ25" s="65"/>
      <c r="BK25" s="65"/>
      <c r="BL25" s="69">
        <f t="shared" si="19"/>
        <v>0</v>
      </c>
      <c r="BM25" s="55">
        <f t="shared" si="19"/>
        <v>0</v>
      </c>
      <c r="BN25" s="55">
        <f t="shared" si="19"/>
        <v>0</v>
      </c>
      <c r="BO25" s="55"/>
      <c r="BP25" s="65">
        <f t="shared" si="23"/>
        <v>0</v>
      </c>
      <c r="BQ25" s="223"/>
      <c r="BR25" s="55"/>
      <c r="BS25" s="223"/>
      <c r="BT25" s="223"/>
      <c r="BU25" s="727"/>
      <c r="BV25" s="347"/>
    </row>
    <row r="26" spans="1:75" x14ac:dyDescent="0.25">
      <c r="A26" s="54" t="s">
        <v>326</v>
      </c>
      <c r="B26" s="55" t="s">
        <v>327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O26" s="55"/>
      <c r="P26" s="55">
        <v>20000</v>
      </c>
      <c r="Q26" s="55">
        <v>120000</v>
      </c>
      <c r="R26" s="55"/>
      <c r="S26" s="55"/>
      <c r="T26" s="55">
        <v>75400</v>
      </c>
      <c r="U26" s="55">
        <f t="shared" si="2"/>
        <v>0</v>
      </c>
      <c r="V26" s="69">
        <f t="shared" si="3"/>
        <v>0</v>
      </c>
      <c r="W26" s="69">
        <f t="shared" si="4"/>
        <v>0</v>
      </c>
      <c r="X26" s="122"/>
      <c r="Z26" s="140">
        <f t="shared" si="6"/>
        <v>0</v>
      </c>
      <c r="AA26" s="171"/>
      <c r="AB26" s="55">
        <v>23000</v>
      </c>
      <c r="AC26" s="223">
        <v>53000</v>
      </c>
      <c r="AD26" s="55">
        <v>53000</v>
      </c>
      <c r="AE26" s="122"/>
      <c r="AG26" s="55">
        <v>96750</v>
      </c>
      <c r="AH26" s="55">
        <f t="shared" si="8"/>
        <v>116100</v>
      </c>
      <c r="AI26" s="230">
        <f t="shared" si="9"/>
        <v>118422</v>
      </c>
      <c r="AK26" s="230">
        <f t="shared" si="22"/>
        <v>118422</v>
      </c>
      <c r="AM26" s="55">
        <v>96750</v>
      </c>
      <c r="AN26" s="223"/>
      <c r="AO26" s="223"/>
      <c r="AP26" s="222"/>
      <c r="AR26" s="69">
        <f t="shared" si="10"/>
        <v>0</v>
      </c>
      <c r="AT26" s="55"/>
      <c r="AU26" s="55"/>
      <c r="AV26" s="55"/>
      <c r="AW26" s="430"/>
      <c r="AX26" s="430"/>
      <c r="AY26" s="69">
        <f t="shared" si="14"/>
        <v>0</v>
      </c>
      <c r="AZ26" s="69">
        <v>6000000</v>
      </c>
      <c r="BA26" s="69">
        <f t="shared" si="15"/>
        <v>6000000</v>
      </c>
      <c r="BB26" s="501">
        <v>6000000</v>
      </c>
      <c r="BC26" s="501">
        <v>6000000</v>
      </c>
      <c r="BD26" s="501">
        <v>20000</v>
      </c>
      <c r="BE26" s="501">
        <v>20000</v>
      </c>
      <c r="BF26" s="221">
        <v>20000</v>
      </c>
      <c r="BG26" s="517">
        <f t="shared" si="16"/>
        <v>24000</v>
      </c>
      <c r="BH26" s="222">
        <v>1000000</v>
      </c>
      <c r="BI26" s="65">
        <v>1000000</v>
      </c>
      <c r="BJ26" s="222">
        <v>0</v>
      </c>
      <c r="BK26" s="65"/>
      <c r="BL26" s="69">
        <f t="shared" si="19"/>
        <v>0</v>
      </c>
      <c r="BM26" s="55">
        <f t="shared" si="19"/>
        <v>0</v>
      </c>
      <c r="BN26" s="55">
        <f t="shared" si="19"/>
        <v>0</v>
      </c>
      <c r="BO26" s="55"/>
      <c r="BP26" s="65">
        <f t="shared" si="23"/>
        <v>0</v>
      </c>
      <c r="BQ26" s="223"/>
      <c r="BR26" s="55"/>
      <c r="BS26" s="223"/>
      <c r="BT26" s="223"/>
      <c r="BU26" s="772">
        <v>1400000</v>
      </c>
      <c r="BV26" s="347">
        <v>2036002</v>
      </c>
    </row>
    <row r="27" spans="1:75" x14ac:dyDescent="0.25">
      <c r="A27" s="54" t="s">
        <v>247</v>
      </c>
      <c r="B27" s="55" t="s">
        <v>248</v>
      </c>
      <c r="C27" s="55">
        <v>0</v>
      </c>
      <c r="D27" s="55"/>
      <c r="E27" s="55"/>
      <c r="F27" s="55"/>
      <c r="G27" s="55">
        <v>0</v>
      </c>
      <c r="H27" s="55">
        <v>11083464</v>
      </c>
      <c r="I27" s="55">
        <f>H27+6761811</f>
        <v>17845275</v>
      </c>
      <c r="J27" s="55">
        <v>7000000</v>
      </c>
      <c r="K27" s="55">
        <v>13010000</v>
      </c>
      <c r="L27" s="66">
        <f>8010000+5000000</f>
        <v>13010000</v>
      </c>
      <c r="M27" s="1">
        <f t="shared" si="1"/>
        <v>72.90445229899791</v>
      </c>
      <c r="O27" s="55">
        <v>13010000</v>
      </c>
      <c r="P27" s="70">
        <f>23162204+11466141</f>
        <v>34628345</v>
      </c>
      <c r="Q27" s="55">
        <f>23677165+11466141</f>
        <v>35143306</v>
      </c>
      <c r="R27" s="55">
        <v>13010000</v>
      </c>
      <c r="S27" s="55">
        <v>13010000</v>
      </c>
      <c r="T27" s="55">
        <f>35672441+11466141</f>
        <v>47138582</v>
      </c>
      <c r="U27" s="55">
        <f t="shared" si="2"/>
        <v>13010000</v>
      </c>
      <c r="V27" s="69">
        <f>U27+12000*7500+2250*8000+1000*9000+8000*2000</f>
        <v>146010000</v>
      </c>
      <c r="W27" s="151">
        <v>120000000</v>
      </c>
      <c r="X27" s="122">
        <f t="shared" si="5"/>
        <v>32.284488733648381</v>
      </c>
      <c r="Y27" t="s">
        <v>352</v>
      </c>
      <c r="Z27" s="140">
        <f t="shared" si="6"/>
        <v>2.5456854005493845</v>
      </c>
      <c r="AA27" s="171">
        <v>120000000</v>
      </c>
      <c r="AB27" s="55">
        <v>31807875</v>
      </c>
      <c r="AC27" s="223">
        <v>51739923</v>
      </c>
      <c r="AD27" s="55">
        <v>53875356</v>
      </c>
      <c r="AE27" s="122">
        <f t="shared" si="7"/>
        <v>44.896129999999999</v>
      </c>
      <c r="AF27" s="55">
        <v>120000000</v>
      </c>
      <c r="AG27" s="55">
        <v>59343073</v>
      </c>
      <c r="AH27" s="55">
        <f t="shared" si="8"/>
        <v>71211687.599999994</v>
      </c>
      <c r="AI27" s="288">
        <v>53000000</v>
      </c>
      <c r="AJ27" s="288"/>
      <c r="AK27" s="230">
        <f t="shared" si="22"/>
        <v>53000000</v>
      </c>
      <c r="AL27" s="55" t="s">
        <v>529</v>
      </c>
      <c r="AM27" s="55">
        <v>136064915</v>
      </c>
      <c r="AN27" s="223"/>
      <c r="AO27" s="223"/>
      <c r="AP27" s="222">
        <v>53000000</v>
      </c>
      <c r="AQ27" s="65">
        <v>18356354</v>
      </c>
      <c r="AR27" s="69">
        <f t="shared" si="10"/>
        <v>34643646</v>
      </c>
      <c r="AS27" s="415">
        <f t="shared" si="11"/>
        <v>34.634630188679246</v>
      </c>
      <c r="AT27" s="55">
        <v>23876039</v>
      </c>
      <c r="AU27" s="55">
        <f t="shared" si="12"/>
        <v>29123961</v>
      </c>
      <c r="AV27" s="55">
        <f t="shared" si="13"/>
        <v>54.950869811320757</v>
      </c>
      <c r="AW27" s="430">
        <v>53000000</v>
      </c>
      <c r="AX27" s="473">
        <v>100000000</v>
      </c>
      <c r="AY27" s="69">
        <f t="shared" si="14"/>
        <v>100000000</v>
      </c>
      <c r="AZ27" s="69">
        <f t="shared" si="15"/>
        <v>100000000</v>
      </c>
      <c r="BA27" s="69">
        <f t="shared" si="15"/>
        <v>100000000</v>
      </c>
      <c r="BB27" s="501">
        <v>100000000</v>
      </c>
      <c r="BC27" s="501">
        <v>193800000</v>
      </c>
      <c r="BD27" s="501">
        <v>135554803</v>
      </c>
      <c r="BE27" s="501">
        <v>138745905</v>
      </c>
      <c r="BF27" s="221">
        <v>138745905</v>
      </c>
      <c r="BG27" s="517">
        <f t="shared" si="16"/>
        <v>166495086</v>
      </c>
      <c r="BH27" s="222">
        <v>25000000</v>
      </c>
      <c r="BI27" s="65">
        <v>25000000</v>
      </c>
      <c r="BJ27" s="222">
        <v>7819939</v>
      </c>
      <c r="BK27" s="65">
        <v>7819939</v>
      </c>
      <c r="BL27" s="69">
        <v>0</v>
      </c>
      <c r="BM27" s="55">
        <f>70000000</f>
        <v>70000000</v>
      </c>
      <c r="BN27" s="55">
        <f>70000000</f>
        <v>70000000</v>
      </c>
      <c r="BO27" s="65">
        <v>58269748</v>
      </c>
      <c r="BP27" s="65">
        <v>58469748</v>
      </c>
      <c r="BQ27" s="223">
        <v>0</v>
      </c>
      <c r="BR27" s="55"/>
      <c r="BS27" s="223"/>
      <c r="BT27" s="245">
        <v>50000000</v>
      </c>
      <c r="BU27" s="768"/>
      <c r="BV27" s="347"/>
    </row>
    <row r="28" spans="1:75" x14ac:dyDescent="0.25">
      <c r="A28" s="54" t="s">
        <v>249</v>
      </c>
      <c r="B28" s="55" t="s">
        <v>250</v>
      </c>
      <c r="C28" s="55">
        <v>0</v>
      </c>
      <c r="D28" s="55"/>
      <c r="E28" s="55"/>
      <c r="F28" s="55"/>
      <c r="G28" s="55">
        <v>0</v>
      </c>
      <c r="H28" s="55">
        <v>24618</v>
      </c>
      <c r="I28" s="55">
        <f t="shared" si="0"/>
        <v>26856</v>
      </c>
      <c r="J28" s="55"/>
      <c r="K28" s="55"/>
      <c r="L28" s="55"/>
      <c r="M28" s="1">
        <f t="shared" si="1"/>
        <v>0</v>
      </c>
      <c r="O28" s="55"/>
      <c r="P28" s="55"/>
      <c r="Q28" s="55"/>
      <c r="R28" s="55"/>
      <c r="S28" s="55"/>
      <c r="T28" s="55"/>
      <c r="U28" s="55">
        <f t="shared" si="2"/>
        <v>0</v>
      </c>
      <c r="V28" s="69">
        <f t="shared" si="3"/>
        <v>0</v>
      </c>
      <c r="W28" s="69">
        <f t="shared" si="4"/>
        <v>0</v>
      </c>
      <c r="X28" s="122"/>
      <c r="Y28"/>
      <c r="Z28" s="140" t="e">
        <f t="shared" si="6"/>
        <v>#DIV/0!</v>
      </c>
      <c r="AA28" s="171"/>
      <c r="AB28" s="55"/>
      <c r="AC28" s="223">
        <v>4535433</v>
      </c>
      <c r="AD28" s="55">
        <v>4535433</v>
      </c>
      <c r="AE28" s="55">
        <v>4535433</v>
      </c>
      <c r="AG28" s="55">
        <v>4535433</v>
      </c>
      <c r="AH28" s="55">
        <f t="shared" si="8"/>
        <v>5442519.5999999996</v>
      </c>
      <c r="AI28" s="230">
        <f t="shared" si="9"/>
        <v>5551369.9919999996</v>
      </c>
      <c r="AK28" s="230">
        <f t="shared" si="22"/>
        <v>5551369.9919999996</v>
      </c>
      <c r="AM28" s="55">
        <v>4535433</v>
      </c>
      <c r="AN28" s="223"/>
      <c r="AO28" s="223"/>
      <c r="AP28" s="222">
        <v>5551370</v>
      </c>
      <c r="AQ28" s="65">
        <v>0</v>
      </c>
      <c r="AR28" s="69">
        <f t="shared" si="10"/>
        <v>5551370</v>
      </c>
      <c r="AS28" s="415">
        <f t="shared" si="11"/>
        <v>0</v>
      </c>
      <c r="AT28" s="65"/>
      <c r="AU28" s="55">
        <f t="shared" si="12"/>
        <v>5551370</v>
      </c>
      <c r="AV28" s="55">
        <f t="shared" si="13"/>
        <v>100</v>
      </c>
      <c r="AW28" s="430">
        <v>5551370</v>
      </c>
      <c r="AX28" s="430">
        <v>1000000</v>
      </c>
      <c r="AY28" s="69">
        <f t="shared" si="14"/>
        <v>1000000</v>
      </c>
      <c r="AZ28" s="69">
        <f t="shared" si="15"/>
        <v>1000000</v>
      </c>
      <c r="BA28" s="69">
        <f t="shared" si="15"/>
        <v>1000000</v>
      </c>
      <c r="BB28" s="501">
        <v>1000000</v>
      </c>
      <c r="BC28" s="501">
        <v>1000000</v>
      </c>
      <c r="BD28" s="501">
        <v>905512</v>
      </c>
      <c r="BE28" s="501">
        <v>905512</v>
      </c>
      <c r="BF28" s="221">
        <v>905512</v>
      </c>
      <c r="BG28" s="517">
        <f t="shared" si="16"/>
        <v>1086614.3999999999</v>
      </c>
      <c r="BH28" s="222">
        <v>500000</v>
      </c>
      <c r="BI28" s="65">
        <v>500000</v>
      </c>
      <c r="BJ28" s="222">
        <v>0</v>
      </c>
      <c r="BK28" s="65"/>
      <c r="BL28" s="69">
        <f t="shared" si="19"/>
        <v>0</v>
      </c>
      <c r="BM28" s="55">
        <f t="shared" si="19"/>
        <v>0</v>
      </c>
      <c r="BN28" s="55">
        <f t="shared" si="19"/>
        <v>0</v>
      </c>
      <c r="BO28" s="55"/>
      <c r="BP28" s="65">
        <f t="shared" si="23"/>
        <v>0</v>
      </c>
      <c r="BQ28" s="223"/>
      <c r="BR28" s="55"/>
      <c r="BS28" s="223"/>
      <c r="BT28" s="223"/>
      <c r="BU28" s="727"/>
      <c r="BV28" s="347"/>
    </row>
    <row r="29" spans="1:75" x14ac:dyDescent="0.25">
      <c r="A29" s="54" t="s">
        <v>251</v>
      </c>
      <c r="B29" s="55" t="s">
        <v>252</v>
      </c>
      <c r="C29" s="55">
        <v>0</v>
      </c>
      <c r="D29" s="55"/>
      <c r="E29" s="55"/>
      <c r="F29" s="55"/>
      <c r="G29" s="55">
        <v>0</v>
      </c>
      <c r="H29" s="55">
        <v>128333</v>
      </c>
      <c r="I29" s="55">
        <f t="shared" si="0"/>
        <v>139999.63636363635</v>
      </c>
      <c r="J29" s="55"/>
      <c r="K29" s="55"/>
      <c r="L29" s="55"/>
      <c r="M29" s="1">
        <f t="shared" si="1"/>
        <v>0</v>
      </c>
      <c r="O29" s="55"/>
      <c r="P29" s="55">
        <v>56668</v>
      </c>
      <c r="Q29" s="55">
        <v>75001</v>
      </c>
      <c r="R29" s="55"/>
      <c r="S29" s="55"/>
      <c r="T29" s="55">
        <v>83334</v>
      </c>
      <c r="U29" s="55">
        <f t="shared" si="2"/>
        <v>0</v>
      </c>
      <c r="V29" s="69">
        <f t="shared" si="3"/>
        <v>0</v>
      </c>
      <c r="W29" s="69">
        <f t="shared" si="4"/>
        <v>0</v>
      </c>
      <c r="X29" s="122"/>
      <c r="Y29"/>
      <c r="Z29" s="140">
        <f t="shared" si="6"/>
        <v>0</v>
      </c>
      <c r="AA29" s="171"/>
      <c r="AB29" s="55">
        <v>83334</v>
      </c>
      <c r="AC29" s="223">
        <v>100004</v>
      </c>
      <c r="AD29" s="55">
        <v>100004</v>
      </c>
      <c r="AE29" s="55">
        <v>100004</v>
      </c>
      <c r="AG29" s="55">
        <v>100004</v>
      </c>
      <c r="AH29" s="55">
        <f t="shared" si="8"/>
        <v>120004.79999999999</v>
      </c>
      <c r="AI29" s="230">
        <f t="shared" si="9"/>
        <v>122404.89599999999</v>
      </c>
      <c r="AK29" s="230">
        <f t="shared" si="22"/>
        <v>122404.89599999999</v>
      </c>
      <c r="AM29" s="55">
        <v>100004</v>
      </c>
      <c r="AN29" s="223"/>
      <c r="AO29" s="223"/>
      <c r="AP29" s="222">
        <v>122405</v>
      </c>
      <c r="AQ29" s="65">
        <v>50000</v>
      </c>
      <c r="AR29" s="69">
        <f t="shared" si="10"/>
        <v>72405</v>
      </c>
      <c r="AS29" s="415">
        <f t="shared" si="11"/>
        <v>40.848004574976507</v>
      </c>
      <c r="AT29" s="65">
        <v>50000</v>
      </c>
      <c r="AU29" s="55">
        <f t="shared" si="12"/>
        <v>72405</v>
      </c>
      <c r="AV29" s="55">
        <f t="shared" si="13"/>
        <v>59.151995425023486</v>
      </c>
      <c r="AW29" s="430">
        <v>122405</v>
      </c>
      <c r="AX29" s="430">
        <v>122405</v>
      </c>
      <c r="AY29" s="69">
        <f t="shared" si="14"/>
        <v>122405</v>
      </c>
      <c r="AZ29" s="69">
        <f t="shared" si="15"/>
        <v>122405</v>
      </c>
      <c r="BA29" s="69">
        <f t="shared" si="15"/>
        <v>122405</v>
      </c>
      <c r="BB29" s="501">
        <v>122405</v>
      </c>
      <c r="BC29" s="501">
        <v>122405</v>
      </c>
      <c r="BD29" s="501">
        <v>0</v>
      </c>
      <c r="BE29" s="501">
        <v>10000</v>
      </c>
      <c r="BF29" s="221">
        <v>45000</v>
      </c>
      <c r="BG29" s="517">
        <f t="shared" si="16"/>
        <v>54000</v>
      </c>
      <c r="BH29" s="222">
        <v>100000</v>
      </c>
      <c r="BI29" s="65">
        <v>200000</v>
      </c>
      <c r="BJ29" s="222">
        <v>160000</v>
      </c>
      <c r="BK29" s="65">
        <v>160000</v>
      </c>
      <c r="BL29" s="69">
        <v>200000</v>
      </c>
      <c r="BM29" s="55">
        <v>200000</v>
      </c>
      <c r="BN29" s="55">
        <v>200000</v>
      </c>
      <c r="BO29" s="55">
        <v>0</v>
      </c>
      <c r="BP29" s="65">
        <f t="shared" si="23"/>
        <v>0</v>
      </c>
      <c r="BQ29" s="223"/>
      <c r="BR29" s="55"/>
      <c r="BS29" s="223"/>
      <c r="BT29" s="223"/>
      <c r="BU29" s="727"/>
      <c r="BV29" s="347"/>
    </row>
    <row r="30" spans="1:75" x14ac:dyDescent="0.25">
      <c r="A30" s="54" t="s">
        <v>235</v>
      </c>
      <c r="B30" s="55" t="s">
        <v>236</v>
      </c>
      <c r="C30" s="55">
        <v>0</v>
      </c>
      <c r="D30" s="55"/>
      <c r="E30" s="55"/>
      <c r="F30" s="55"/>
      <c r="G30" s="55">
        <v>0</v>
      </c>
      <c r="H30" s="55">
        <v>776917</v>
      </c>
      <c r="I30" s="55">
        <f t="shared" si="0"/>
        <v>847545.81818181812</v>
      </c>
      <c r="J30" s="55"/>
      <c r="K30" s="55"/>
      <c r="L30" s="55"/>
      <c r="M30" s="1">
        <f t="shared" si="1"/>
        <v>0</v>
      </c>
      <c r="O30" s="55"/>
      <c r="P30" s="55">
        <v>101785919</v>
      </c>
      <c r="Q30" s="55">
        <v>101815919</v>
      </c>
      <c r="R30" s="55"/>
      <c r="S30" s="55"/>
      <c r="T30" s="55">
        <v>101855919</v>
      </c>
      <c r="U30" s="55">
        <v>82528772</v>
      </c>
      <c r="V30" s="69">
        <f t="shared" si="3"/>
        <v>82528772</v>
      </c>
      <c r="W30" s="69">
        <f t="shared" si="4"/>
        <v>82528772</v>
      </c>
      <c r="X30" s="122">
        <f t="shared" si="5"/>
        <v>123.41867754920672</v>
      </c>
      <c r="Y30"/>
      <c r="Z30" s="140">
        <f t="shared" si="6"/>
        <v>0.81025013381892907</v>
      </c>
      <c r="AA30" s="188">
        <f>82528772+73695191</f>
        <v>156223963</v>
      </c>
      <c r="AB30" s="55">
        <v>120255</v>
      </c>
      <c r="AC30" s="223">
        <v>59769933</v>
      </c>
      <c r="AD30" s="55">
        <v>59774933</v>
      </c>
      <c r="AE30" s="122">
        <f t="shared" si="7"/>
        <v>38.262333032737111</v>
      </c>
      <c r="AF30" s="55">
        <v>156223963</v>
      </c>
      <c r="AG30" s="55">
        <v>59813933</v>
      </c>
      <c r="AH30" s="55">
        <f t="shared" si="8"/>
        <v>71776719.599999994</v>
      </c>
      <c r="AI30" s="288">
        <f>65998450+82528772</f>
        <v>148527222</v>
      </c>
      <c r="AJ30" s="288"/>
      <c r="AK30" s="230">
        <f t="shared" si="22"/>
        <v>148527222</v>
      </c>
      <c r="AM30" s="55">
        <v>63454726</v>
      </c>
      <c r="AN30" s="223"/>
      <c r="AO30" s="223"/>
      <c r="AP30" s="222">
        <v>195078308</v>
      </c>
      <c r="AQ30" s="65">
        <v>46797380</v>
      </c>
      <c r="AR30" s="69">
        <f t="shared" si="10"/>
        <v>148280928</v>
      </c>
      <c r="AS30" s="415">
        <f t="shared" si="11"/>
        <v>23.98902291073798</v>
      </c>
      <c r="AT30" s="65">
        <v>46802380</v>
      </c>
      <c r="AU30" s="55">
        <f t="shared" si="12"/>
        <v>148275928</v>
      </c>
      <c r="AV30" s="55">
        <f t="shared" si="13"/>
        <v>76.008414015975575</v>
      </c>
      <c r="AW30" s="430">
        <v>195078308</v>
      </c>
      <c r="AX30" s="430">
        <v>40000000</v>
      </c>
      <c r="AY30" s="69">
        <f>AX30+20000000</f>
        <v>60000000</v>
      </c>
      <c r="AZ30" s="69">
        <f t="shared" si="15"/>
        <v>60000000</v>
      </c>
      <c r="BA30" s="69">
        <f t="shared" si="15"/>
        <v>60000000</v>
      </c>
      <c r="BB30" s="375">
        <v>60000000</v>
      </c>
      <c r="BC30" s="375">
        <v>60000000</v>
      </c>
      <c r="BD30" s="375">
        <v>35000</v>
      </c>
      <c r="BE30" s="375">
        <v>45000</v>
      </c>
      <c r="BF30" s="221">
        <v>50000</v>
      </c>
      <c r="BG30" s="517">
        <f t="shared" si="16"/>
        <v>60000</v>
      </c>
      <c r="BH30" s="222">
        <v>60000000</v>
      </c>
      <c r="BI30" s="579">
        <v>98482720</v>
      </c>
      <c r="BJ30" s="65">
        <v>34902098</v>
      </c>
      <c r="BK30" s="65">
        <v>100311114</v>
      </c>
      <c r="BL30" s="69">
        <v>38000000</v>
      </c>
      <c r="BM30" s="55">
        <v>38000000</v>
      </c>
      <c r="BN30" s="55">
        <v>38000000</v>
      </c>
      <c r="BO30" s="55">
        <v>218095</v>
      </c>
      <c r="BP30" s="65">
        <f t="shared" si="23"/>
        <v>261714</v>
      </c>
      <c r="BQ30" s="223">
        <v>0</v>
      </c>
      <c r="BR30" s="55"/>
      <c r="BS30" s="223">
        <v>20000000</v>
      </c>
      <c r="BT30" s="245">
        <v>40000000</v>
      </c>
      <c r="BU30" s="768">
        <v>186699156</v>
      </c>
      <c r="BV30" s="871"/>
    </row>
    <row r="31" spans="1:75" x14ac:dyDescent="0.25">
      <c r="A31" s="54" t="s">
        <v>26</v>
      </c>
      <c r="B31" s="58" t="s">
        <v>196</v>
      </c>
      <c r="C31" s="55">
        <v>185836996</v>
      </c>
      <c r="D31" s="55">
        <v>272333681</v>
      </c>
      <c r="E31" s="55">
        <v>84611540</v>
      </c>
      <c r="F31" s="55">
        <f>90000+9318897+24618+128833+621917+145000+393337+56306608+26490-500</f>
        <v>67055200</v>
      </c>
      <c r="G31" s="55"/>
      <c r="H31" s="55"/>
      <c r="I31" s="55">
        <f t="shared" si="0"/>
        <v>0</v>
      </c>
      <c r="J31" s="55">
        <v>93140883.5</v>
      </c>
      <c r="K31" s="55">
        <v>93140883.5</v>
      </c>
      <c r="L31" s="65">
        <f>52160144+81961479/2</f>
        <v>93140883.5</v>
      </c>
      <c r="M31" s="1">
        <f t="shared" si="1"/>
        <v>0</v>
      </c>
      <c r="O31" s="55">
        <v>97612884</v>
      </c>
      <c r="P31" s="55"/>
      <c r="Q31" s="55"/>
      <c r="R31" s="55">
        <v>75000000</v>
      </c>
      <c r="S31" s="55"/>
      <c r="T31" s="55"/>
      <c r="U31" s="55"/>
      <c r="V31" s="69">
        <f t="shared" si="3"/>
        <v>0</v>
      </c>
      <c r="W31" s="69">
        <f t="shared" si="4"/>
        <v>0</v>
      </c>
      <c r="X31" s="122"/>
      <c r="Y31"/>
      <c r="Z31" s="140" t="e">
        <f t="shared" si="6"/>
        <v>#DIV/0!</v>
      </c>
      <c r="AA31" s="171"/>
      <c r="AB31" s="55"/>
      <c r="AC31" s="223"/>
      <c r="AE31" s="122"/>
      <c r="AH31" s="55">
        <f t="shared" si="8"/>
        <v>0</v>
      </c>
      <c r="AI31" s="230">
        <f t="shared" si="9"/>
        <v>0</v>
      </c>
      <c r="AK31" s="230">
        <f t="shared" si="22"/>
        <v>0</v>
      </c>
      <c r="AN31" s="223"/>
      <c r="AO31" s="223"/>
      <c r="AP31" s="222"/>
      <c r="AR31" s="69">
        <f t="shared" si="10"/>
        <v>0</v>
      </c>
      <c r="AT31" s="65"/>
      <c r="AU31" s="55"/>
      <c r="AV31" s="55"/>
      <c r="AW31" s="430">
        <v>0</v>
      </c>
      <c r="AX31" s="430">
        <v>0</v>
      </c>
      <c r="AY31" s="69">
        <f t="shared" si="14"/>
        <v>0</v>
      </c>
      <c r="AZ31" s="69">
        <f t="shared" si="15"/>
        <v>0</v>
      </c>
      <c r="BA31" s="69">
        <f t="shared" si="15"/>
        <v>0</v>
      </c>
      <c r="BB31" s="501"/>
      <c r="BE31" s="501"/>
      <c r="BF31" s="221"/>
      <c r="BG31" s="517">
        <f t="shared" si="16"/>
        <v>0</v>
      </c>
      <c r="BH31" s="222"/>
      <c r="BI31" s="65"/>
      <c r="BJ31" s="65">
        <v>0</v>
      </c>
      <c r="BK31" s="65"/>
      <c r="BL31" s="69">
        <f t="shared" si="19"/>
        <v>0</v>
      </c>
      <c r="BM31" s="55">
        <f t="shared" si="19"/>
        <v>0</v>
      </c>
      <c r="BN31" s="55">
        <f t="shared" si="19"/>
        <v>0</v>
      </c>
      <c r="BO31" s="55"/>
      <c r="BP31" s="65">
        <f t="shared" si="23"/>
        <v>0</v>
      </c>
      <c r="BQ31" s="223"/>
      <c r="BR31" s="55"/>
      <c r="BS31" s="223"/>
      <c r="BT31" s="223"/>
      <c r="BU31" s="727"/>
      <c r="BV31" s="347"/>
    </row>
    <row r="32" spans="1:75" x14ac:dyDescent="0.25">
      <c r="A32" s="54" t="s">
        <v>241</v>
      </c>
      <c r="B32" s="58" t="s">
        <v>242</v>
      </c>
      <c r="C32" s="55">
        <v>0</v>
      </c>
      <c r="D32" s="55"/>
      <c r="E32" s="55"/>
      <c r="F32" s="55"/>
      <c r="G32" s="55">
        <v>84611540</v>
      </c>
      <c r="H32" s="55">
        <v>421670</v>
      </c>
      <c r="I32" s="55">
        <f t="shared" si="0"/>
        <v>460003.63636363635</v>
      </c>
      <c r="J32" s="55"/>
      <c r="K32" s="55"/>
      <c r="L32" s="55"/>
      <c r="M32" s="1">
        <f t="shared" si="1"/>
        <v>0</v>
      </c>
      <c r="O32" s="55"/>
      <c r="P32" s="55">
        <v>160000</v>
      </c>
      <c r="Q32" s="55">
        <v>180000</v>
      </c>
      <c r="R32" s="55">
        <v>180000</v>
      </c>
      <c r="S32" s="55">
        <v>97612884</v>
      </c>
      <c r="T32" s="55">
        <v>210000</v>
      </c>
      <c r="U32" s="55">
        <f t="shared" si="2"/>
        <v>180000</v>
      </c>
      <c r="V32" s="69">
        <f t="shared" si="3"/>
        <v>180000</v>
      </c>
      <c r="W32" s="69">
        <f t="shared" si="4"/>
        <v>180000</v>
      </c>
      <c r="X32" s="122">
        <f t="shared" si="5"/>
        <v>116.66666666666667</v>
      </c>
      <c r="Y32"/>
      <c r="Z32" s="140">
        <f t="shared" si="6"/>
        <v>0.8571428571428571</v>
      </c>
      <c r="AA32" s="171">
        <v>180000</v>
      </c>
      <c r="AB32" s="55">
        <v>88333</v>
      </c>
      <c r="AC32" s="223">
        <v>96668</v>
      </c>
      <c r="AD32" s="55">
        <v>116668</v>
      </c>
      <c r="AE32" s="55">
        <v>116668</v>
      </c>
      <c r="AF32" s="55">
        <v>180000</v>
      </c>
      <c r="AG32" s="55">
        <v>116668</v>
      </c>
      <c r="AH32" s="55">
        <f t="shared" si="8"/>
        <v>140001.59999999998</v>
      </c>
      <c r="AI32" s="230">
        <f t="shared" si="9"/>
        <v>142801.63199999998</v>
      </c>
      <c r="AK32" s="230">
        <f t="shared" si="22"/>
        <v>142801.63199999998</v>
      </c>
      <c r="AM32" s="55">
        <v>116668</v>
      </c>
      <c r="AN32" s="223"/>
      <c r="AO32" s="223"/>
      <c r="AP32" s="222"/>
      <c r="AR32" s="69">
        <f t="shared" si="10"/>
        <v>0</v>
      </c>
      <c r="AT32" s="65"/>
      <c r="AU32" s="55"/>
      <c r="AV32" s="55"/>
      <c r="AW32" s="430">
        <v>0</v>
      </c>
      <c r="AX32" s="430">
        <v>0</v>
      </c>
      <c r="AY32" s="69">
        <f t="shared" si="14"/>
        <v>0</v>
      </c>
      <c r="AZ32" s="69">
        <f t="shared" si="15"/>
        <v>0</v>
      </c>
      <c r="BA32" s="69">
        <f t="shared" si="15"/>
        <v>0</v>
      </c>
      <c r="BB32" s="501"/>
      <c r="BE32" s="501"/>
      <c r="BF32" s="221"/>
      <c r="BG32" s="517">
        <f t="shared" si="16"/>
        <v>0</v>
      </c>
      <c r="BH32" s="222"/>
      <c r="BI32" s="65"/>
      <c r="BJ32" s="65">
        <v>0</v>
      </c>
      <c r="BK32" s="65"/>
      <c r="BL32" s="69">
        <f t="shared" si="19"/>
        <v>0</v>
      </c>
      <c r="BM32" s="55">
        <f t="shared" si="19"/>
        <v>0</v>
      </c>
      <c r="BN32" s="55">
        <f t="shared" si="19"/>
        <v>0</v>
      </c>
      <c r="BO32" s="55"/>
      <c r="BP32" s="65">
        <f t="shared" si="23"/>
        <v>0</v>
      </c>
      <c r="BQ32" s="223"/>
      <c r="BR32" s="55"/>
      <c r="BS32" s="223"/>
      <c r="BT32" s="223"/>
      <c r="BU32" s="727"/>
      <c r="BV32" s="347"/>
    </row>
    <row r="33" spans="1:90" x14ac:dyDescent="0.25">
      <c r="A33" s="54" t="s">
        <v>253</v>
      </c>
      <c r="B33" s="58" t="s">
        <v>254</v>
      </c>
      <c r="C33" s="55">
        <v>0</v>
      </c>
      <c r="D33" s="55"/>
      <c r="E33" s="55"/>
      <c r="F33" s="55"/>
      <c r="G33" s="55"/>
      <c r="H33" s="55">
        <v>57950608</v>
      </c>
      <c r="I33" s="55">
        <f t="shared" si="0"/>
        <v>63218845.090909094</v>
      </c>
      <c r="J33" s="55"/>
      <c r="K33" s="55">
        <v>4472000</v>
      </c>
      <c r="L33" s="65">
        <v>4472000</v>
      </c>
      <c r="M33" s="1">
        <f t="shared" si="1"/>
        <v>7.0738400765930409</v>
      </c>
      <c r="O33" s="55"/>
      <c r="P33" s="55">
        <v>5813435</v>
      </c>
      <c r="Q33" s="55">
        <v>6061770</v>
      </c>
      <c r="R33" s="55">
        <v>4472000</v>
      </c>
      <c r="S33" s="55"/>
      <c r="T33" s="55">
        <v>6641940</v>
      </c>
      <c r="U33" s="55">
        <v>9000000</v>
      </c>
      <c r="V33" s="69">
        <f t="shared" si="3"/>
        <v>9000000</v>
      </c>
      <c r="W33" s="69">
        <f t="shared" si="4"/>
        <v>9000000</v>
      </c>
      <c r="X33" s="122">
        <f t="shared" si="5"/>
        <v>73.799333333333323</v>
      </c>
      <c r="Y33" t="s">
        <v>372</v>
      </c>
      <c r="Z33" s="140">
        <f t="shared" si="6"/>
        <v>1.3550257906575489</v>
      </c>
      <c r="AA33" s="171">
        <v>9000000</v>
      </c>
      <c r="AB33" s="55">
        <v>1390010</v>
      </c>
      <c r="AC33" s="223">
        <v>1698345</v>
      </c>
      <c r="AD33" s="55">
        <v>1933345</v>
      </c>
      <c r="AE33" s="122">
        <f t="shared" si="7"/>
        <v>21.481611111111114</v>
      </c>
      <c r="AF33" s="55">
        <v>9000000</v>
      </c>
      <c r="AG33" s="55">
        <v>2153345</v>
      </c>
      <c r="AH33" s="55">
        <f t="shared" si="8"/>
        <v>2584014</v>
      </c>
      <c r="AI33" s="230">
        <f t="shared" si="9"/>
        <v>2635694.2800000003</v>
      </c>
      <c r="AK33" s="230">
        <f>1767500+200000*50</f>
        <v>11767500</v>
      </c>
      <c r="AM33" s="55">
        <v>2481345</v>
      </c>
      <c r="AN33" s="223"/>
      <c r="AO33" s="223"/>
      <c r="AP33" s="222">
        <v>24314000</v>
      </c>
      <c r="AQ33" s="65">
        <v>168369928</v>
      </c>
      <c r="AR33" s="69">
        <f t="shared" si="10"/>
        <v>-144055928</v>
      </c>
      <c r="AS33" s="415">
        <f t="shared" si="11"/>
        <v>692.48140166159408</v>
      </c>
      <c r="AT33" s="65">
        <v>169326928</v>
      </c>
      <c r="AU33" s="55">
        <f t="shared" si="12"/>
        <v>-145012928</v>
      </c>
      <c r="AV33" s="55">
        <f t="shared" si="13"/>
        <v>-596.41740560993662</v>
      </c>
      <c r="AW33" s="430">
        <v>24314000</v>
      </c>
      <c r="AX33" s="474">
        <v>65093500</v>
      </c>
      <c r="AY33" s="69">
        <f>AX33+5000000</f>
        <v>70093500</v>
      </c>
      <c r="AZ33" s="476">
        <f t="shared" si="15"/>
        <v>70093500</v>
      </c>
      <c r="BA33" s="69">
        <f t="shared" si="15"/>
        <v>70093500</v>
      </c>
      <c r="BB33" s="501">
        <v>70093500</v>
      </c>
      <c r="BC33" s="501">
        <v>70093500</v>
      </c>
      <c r="BD33" s="501">
        <v>6841653</v>
      </c>
      <c r="BE33" s="501">
        <v>8591653</v>
      </c>
      <c r="BF33" s="221">
        <v>9190296</v>
      </c>
      <c r="BG33" s="517">
        <f t="shared" si="16"/>
        <v>11028355.199999999</v>
      </c>
      <c r="BH33" s="222">
        <v>61000000</v>
      </c>
      <c r="BI33" s="65">
        <f>61000000-28238970</f>
        <v>32761030</v>
      </c>
      <c r="BJ33" s="65">
        <v>5756083</v>
      </c>
      <c r="BK33" s="65">
        <v>7614631</v>
      </c>
      <c r="BL33" s="69">
        <v>8000000</v>
      </c>
      <c r="BM33" s="65">
        <v>10000000</v>
      </c>
      <c r="BN33" s="65">
        <v>10000000</v>
      </c>
      <c r="BO33" s="55">
        <v>2144000</v>
      </c>
      <c r="BP33" s="65">
        <f t="shared" si="23"/>
        <v>2572800</v>
      </c>
      <c r="BQ33" s="223">
        <v>2000000</v>
      </c>
      <c r="BR33" s="55">
        <v>2000000</v>
      </c>
      <c r="BS33" s="223">
        <v>2000000</v>
      </c>
      <c r="BT33" s="223">
        <v>2000000</v>
      </c>
      <c r="BU33" s="727"/>
      <c r="BV33" s="347"/>
    </row>
    <row r="34" spans="1:90" x14ac:dyDescent="0.25">
      <c r="A34" s="54" t="s">
        <v>663</v>
      </c>
      <c r="B34" s="58" t="s">
        <v>664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14"/>
      <c r="N34" s="14"/>
      <c r="O34" s="65"/>
      <c r="P34" s="65"/>
      <c r="Q34" s="65"/>
      <c r="R34" s="65"/>
      <c r="S34" s="65"/>
      <c r="T34" s="65"/>
      <c r="U34" s="65"/>
      <c r="V34" s="69"/>
      <c r="W34" s="69"/>
      <c r="X34" s="121"/>
      <c r="Y34"/>
      <c r="Z34" s="226"/>
      <c r="AA34" s="227"/>
      <c r="AB34" s="65"/>
      <c r="AC34" s="222"/>
      <c r="AD34" s="65"/>
      <c r="AE34" s="121"/>
      <c r="AF34" s="65"/>
      <c r="AG34" s="65"/>
      <c r="AH34" s="65"/>
      <c r="AI34" s="65"/>
      <c r="AJ34" s="65"/>
      <c r="AK34" s="65"/>
      <c r="AL34" s="65"/>
      <c r="AM34" s="65"/>
      <c r="AN34" s="222"/>
      <c r="AO34" s="222"/>
      <c r="AP34" s="222"/>
      <c r="AR34" s="69"/>
      <c r="AT34" s="65"/>
      <c r="AU34" s="65"/>
      <c r="AV34" s="65"/>
      <c r="AW34" s="430"/>
      <c r="AX34" s="474"/>
      <c r="AY34" s="69"/>
      <c r="AZ34" s="69"/>
      <c r="BA34" s="69"/>
      <c r="BB34" s="65"/>
      <c r="BC34" s="65"/>
      <c r="BD34" s="65"/>
      <c r="BE34" s="65"/>
      <c r="BF34" s="65"/>
      <c r="BG34" s="52"/>
      <c r="BH34" s="222"/>
      <c r="BI34" s="65"/>
      <c r="BJ34" s="65"/>
      <c r="BK34" s="65"/>
      <c r="BL34" s="69">
        <v>50000000</v>
      </c>
      <c r="BM34" s="65">
        <v>50000000</v>
      </c>
      <c r="BN34" s="65">
        <v>50000000</v>
      </c>
      <c r="BO34" s="65">
        <v>50000000</v>
      </c>
      <c r="BP34" s="65">
        <v>50000000</v>
      </c>
      <c r="BQ34" s="222">
        <v>50000000</v>
      </c>
      <c r="BR34" s="65">
        <v>50000000</v>
      </c>
      <c r="BS34" s="222">
        <v>50000000</v>
      </c>
      <c r="BT34" s="222">
        <v>50000000</v>
      </c>
      <c r="BU34" s="865">
        <v>50000000</v>
      </c>
      <c r="BV34" s="347">
        <v>50000000</v>
      </c>
    </row>
    <row r="35" spans="1:90" x14ac:dyDescent="0.25">
      <c r="A35" s="54" t="s">
        <v>27</v>
      </c>
      <c r="B35" s="65" t="s">
        <v>192</v>
      </c>
      <c r="C35" s="65">
        <v>0</v>
      </c>
      <c r="D35" s="65">
        <v>0</v>
      </c>
      <c r="E35" s="65">
        <v>194246655</v>
      </c>
      <c r="F35" s="65">
        <v>192765778</v>
      </c>
      <c r="G35" s="65">
        <v>192765778</v>
      </c>
      <c r="H35" s="65">
        <v>192765778</v>
      </c>
      <c r="I35" s="65">
        <f t="shared" si="0"/>
        <v>210289939.63636363</v>
      </c>
      <c r="J35" s="65">
        <v>0</v>
      </c>
      <c r="K35" s="65">
        <v>0</v>
      </c>
      <c r="L35" s="65">
        <v>0</v>
      </c>
      <c r="M35" s="14">
        <f t="shared" si="1"/>
        <v>0</v>
      </c>
      <c r="N35" s="14"/>
      <c r="O35" s="65">
        <v>163701464</v>
      </c>
      <c r="P35" s="65">
        <v>163701464</v>
      </c>
      <c r="Q35" s="65">
        <v>163701464</v>
      </c>
      <c r="R35" s="65"/>
      <c r="S35" s="65">
        <v>163701464</v>
      </c>
      <c r="T35" s="65">
        <v>163701464</v>
      </c>
      <c r="U35" s="65">
        <f t="shared" si="2"/>
        <v>0</v>
      </c>
      <c r="V35" s="69">
        <f t="shared" si="3"/>
        <v>0</v>
      </c>
      <c r="W35" s="69">
        <f t="shared" si="4"/>
        <v>0</v>
      </c>
      <c r="X35" s="121"/>
      <c r="Y35" s="14"/>
      <c r="Z35" s="226">
        <f t="shared" si="6"/>
        <v>0</v>
      </c>
      <c r="AA35" s="227">
        <v>305479947</v>
      </c>
      <c r="AB35" s="65">
        <v>306003339</v>
      </c>
      <c r="AC35" s="222">
        <v>306003339</v>
      </c>
      <c r="AD35" s="65"/>
      <c r="AE35" s="121">
        <f t="shared" si="7"/>
        <v>0</v>
      </c>
      <c r="AF35" s="65"/>
      <c r="AG35" s="65"/>
      <c r="AH35" s="65"/>
      <c r="AI35" s="65">
        <v>115000000</v>
      </c>
      <c r="AJ35" s="65"/>
      <c r="AK35" s="65">
        <v>125782749</v>
      </c>
      <c r="AL35" s="65"/>
      <c r="AM35" s="65">
        <v>306003339</v>
      </c>
      <c r="AN35" s="222"/>
      <c r="AO35" s="222"/>
      <c r="AP35" s="222">
        <v>133297477</v>
      </c>
      <c r="AQ35" s="65">
        <v>133297477</v>
      </c>
      <c r="AR35" s="69">
        <f t="shared" si="10"/>
        <v>0</v>
      </c>
      <c r="AS35" s="415">
        <f t="shared" si="11"/>
        <v>100</v>
      </c>
      <c r="AT35" s="65">
        <v>133297477</v>
      </c>
      <c r="AU35" s="65"/>
      <c r="AV35" s="65"/>
      <c r="AW35" s="430">
        <v>125782749</v>
      </c>
      <c r="AX35" s="430">
        <v>59823986</v>
      </c>
      <c r="AY35" s="69">
        <f t="shared" si="14"/>
        <v>59823986</v>
      </c>
      <c r="AZ35" s="69">
        <f t="shared" si="15"/>
        <v>59823986</v>
      </c>
      <c r="BA35" s="69">
        <f t="shared" si="15"/>
        <v>59823986</v>
      </c>
      <c r="BB35" s="65">
        <v>59823986</v>
      </c>
      <c r="BC35" s="65">
        <v>54995290</v>
      </c>
      <c r="BD35" s="65">
        <v>54995290</v>
      </c>
      <c r="BE35" s="65">
        <v>54995290</v>
      </c>
      <c r="BF35" s="65">
        <v>54995290</v>
      </c>
      <c r="BG35" s="52">
        <f t="shared" si="16"/>
        <v>65994348</v>
      </c>
      <c r="BH35" s="562">
        <v>9095895</v>
      </c>
      <c r="BI35" s="576">
        <v>12073674</v>
      </c>
      <c r="BJ35" s="65">
        <v>12073674</v>
      </c>
      <c r="BK35" s="65">
        <v>12073674</v>
      </c>
      <c r="BL35" s="69"/>
      <c r="BM35" s="65">
        <f>25769149+283006093</f>
        <v>308775242</v>
      </c>
      <c r="BN35" s="65">
        <f>25769149+283006093</f>
        <v>308775242</v>
      </c>
      <c r="BO35" s="65">
        <f>302587196+31060893</f>
        <v>333648089</v>
      </c>
      <c r="BP35" s="65">
        <v>333648089</v>
      </c>
      <c r="BQ35" s="222">
        <v>963625179</v>
      </c>
      <c r="BR35" s="65">
        <v>963625179</v>
      </c>
      <c r="BS35" s="222">
        <v>916922224</v>
      </c>
      <c r="BT35" s="245">
        <v>911260210</v>
      </c>
      <c r="BU35" s="865">
        <v>70248304</v>
      </c>
      <c r="BV35" s="872"/>
    </row>
    <row r="36" spans="1:90" x14ac:dyDescent="0.25">
      <c r="A36" s="54">
        <v>814</v>
      </c>
      <c r="B36" s="55" t="s">
        <v>442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O36" s="55"/>
      <c r="P36" s="55"/>
      <c r="Q36" s="55"/>
      <c r="R36" s="55"/>
      <c r="S36" s="55"/>
      <c r="T36" s="55"/>
      <c r="U36" s="55"/>
      <c r="V36" s="69"/>
      <c r="W36" s="69"/>
      <c r="X36" s="122"/>
      <c r="Z36" s="140"/>
      <c r="AA36" s="171"/>
      <c r="AB36" s="55"/>
      <c r="AC36" s="223">
        <v>748354</v>
      </c>
      <c r="AE36" s="122"/>
      <c r="AK36" s="230">
        <f t="shared" ref="AK36:AK56" si="24">AI36</f>
        <v>0</v>
      </c>
      <c r="AM36" s="55">
        <v>10553449</v>
      </c>
      <c r="AN36" s="223"/>
      <c r="AO36" s="223"/>
      <c r="AP36" s="222">
        <v>0</v>
      </c>
      <c r="AQ36" s="65">
        <v>307213</v>
      </c>
      <c r="AR36" s="69">
        <f t="shared" si="10"/>
        <v>-307213</v>
      </c>
      <c r="AT36" s="65">
        <v>307213</v>
      </c>
      <c r="AU36" s="55"/>
      <c r="AV36" s="55"/>
      <c r="AW36" s="430"/>
      <c r="AX36" s="430"/>
      <c r="AY36" s="69">
        <v>6000000</v>
      </c>
      <c r="AZ36" s="69"/>
      <c r="BA36" s="69">
        <f t="shared" si="15"/>
        <v>0</v>
      </c>
      <c r="BB36" s="501">
        <v>0</v>
      </c>
      <c r="BC36" s="501">
        <v>11681293</v>
      </c>
      <c r="BD36" s="501">
        <v>11681293</v>
      </c>
      <c r="BE36" s="501">
        <v>11681293</v>
      </c>
      <c r="BF36" s="221">
        <v>12147503</v>
      </c>
      <c r="BG36" s="517">
        <f t="shared" si="16"/>
        <v>14577003.600000001</v>
      </c>
      <c r="BH36" s="563">
        <v>0</v>
      </c>
      <c r="BI36" s="577"/>
      <c r="BJ36" s="65"/>
      <c r="BK36" s="65"/>
      <c r="BL36" s="69"/>
      <c r="BM36" s="55"/>
      <c r="BN36" s="55"/>
      <c r="BO36" s="55"/>
      <c r="BP36" s="65"/>
      <c r="BQ36" s="223"/>
      <c r="BR36" s="55"/>
      <c r="BS36" s="223"/>
      <c r="BT36" s="223"/>
      <c r="BU36" s="866"/>
      <c r="BV36" s="347"/>
    </row>
    <row r="37" spans="1:90" x14ac:dyDescent="0.25">
      <c r="A37" s="54" t="s">
        <v>28</v>
      </c>
      <c r="B37" s="58" t="s">
        <v>197</v>
      </c>
      <c r="C37" s="55">
        <v>0</v>
      </c>
      <c r="D37" s="55">
        <v>60103000</v>
      </c>
      <c r="E37" s="55">
        <v>0</v>
      </c>
      <c r="F37" s="55"/>
      <c r="G37" s="55"/>
      <c r="H37" s="55"/>
      <c r="I37" s="55">
        <f t="shared" si="0"/>
        <v>0</v>
      </c>
      <c r="J37" s="55">
        <v>0</v>
      </c>
      <c r="K37" s="55">
        <v>0</v>
      </c>
      <c r="L37" s="55">
        <f t="shared" si="21"/>
        <v>0</v>
      </c>
      <c r="M37" s="1">
        <f t="shared" si="1"/>
        <v>0</v>
      </c>
      <c r="O37" s="55">
        <v>806269</v>
      </c>
      <c r="P37" s="55">
        <v>806269</v>
      </c>
      <c r="Q37" s="55">
        <v>806269</v>
      </c>
      <c r="R37" s="55"/>
      <c r="S37" s="55">
        <v>806269</v>
      </c>
      <c r="T37" s="55">
        <v>8243998</v>
      </c>
      <c r="U37" s="55">
        <f t="shared" si="2"/>
        <v>0</v>
      </c>
      <c r="V37" s="69">
        <f t="shared" si="3"/>
        <v>0</v>
      </c>
      <c r="W37" s="69">
        <f t="shared" si="4"/>
        <v>0</v>
      </c>
      <c r="X37" s="122"/>
      <c r="Z37" s="140">
        <f t="shared" si="6"/>
        <v>0</v>
      </c>
      <c r="AA37" s="171"/>
      <c r="AB37" s="55"/>
      <c r="AC37" s="223"/>
      <c r="AE37" s="122"/>
      <c r="AK37" s="230">
        <f t="shared" si="24"/>
        <v>0</v>
      </c>
      <c r="AN37" s="223"/>
      <c r="AO37" s="223"/>
      <c r="AP37" s="222"/>
      <c r="AR37" s="69">
        <f t="shared" si="10"/>
        <v>0</v>
      </c>
      <c r="AT37" s="65"/>
      <c r="AU37" s="55"/>
      <c r="AV37" s="55"/>
      <c r="AW37" s="430"/>
      <c r="AX37" s="430"/>
      <c r="AY37" s="69">
        <f t="shared" si="14"/>
        <v>0</v>
      </c>
      <c r="AZ37" s="69">
        <f t="shared" si="15"/>
        <v>0</v>
      </c>
      <c r="BA37" s="69">
        <f t="shared" si="15"/>
        <v>0</v>
      </c>
      <c r="BB37" s="501"/>
      <c r="BE37" s="501"/>
      <c r="BF37" s="221"/>
      <c r="BG37" s="517">
        <f t="shared" si="16"/>
        <v>0</v>
      </c>
      <c r="BH37" s="564"/>
      <c r="BI37" s="578"/>
      <c r="BJ37" s="65"/>
      <c r="BK37" s="65"/>
      <c r="BL37" s="69"/>
      <c r="BM37" s="55"/>
      <c r="BN37" s="55"/>
      <c r="BO37" s="55"/>
      <c r="BP37" s="55"/>
      <c r="BQ37" s="223"/>
      <c r="BR37" s="55"/>
      <c r="BS37" s="223"/>
      <c r="BT37" s="755"/>
      <c r="BU37" s="867"/>
      <c r="BV37" s="347"/>
    </row>
    <row r="38" spans="1:90" s="39" customFormat="1" x14ac:dyDescent="0.25">
      <c r="A38" s="54" t="s">
        <v>29</v>
      </c>
      <c r="B38" s="65"/>
      <c r="C38" s="60">
        <v>0</v>
      </c>
      <c r="D38" s="60">
        <v>0</v>
      </c>
      <c r="E38" s="60">
        <v>0</v>
      </c>
      <c r="F38" s="60"/>
      <c r="G38" s="60"/>
      <c r="H38" s="60"/>
      <c r="I38" s="60">
        <f t="shared" si="0"/>
        <v>0</v>
      </c>
      <c r="J38" s="60">
        <v>0</v>
      </c>
      <c r="K38" s="60">
        <v>0</v>
      </c>
      <c r="L38" s="60">
        <f t="shared" si="21"/>
        <v>0</v>
      </c>
      <c r="M38" s="38">
        <f t="shared" si="1"/>
        <v>0</v>
      </c>
      <c r="N38" s="38"/>
      <c r="O38" s="60"/>
      <c r="P38" s="60"/>
      <c r="Q38" s="60"/>
      <c r="R38" s="60"/>
      <c r="S38" s="60"/>
      <c r="T38" s="60"/>
      <c r="U38" s="60">
        <f t="shared" si="2"/>
        <v>0</v>
      </c>
      <c r="V38" s="124">
        <f t="shared" si="3"/>
        <v>0</v>
      </c>
      <c r="W38" s="124">
        <f t="shared" si="4"/>
        <v>0</v>
      </c>
      <c r="X38" s="123"/>
      <c r="Y38" s="38"/>
      <c r="Z38" s="228" t="e">
        <f t="shared" si="6"/>
        <v>#DIV/0!</v>
      </c>
      <c r="AA38" s="172"/>
      <c r="AB38" s="60"/>
      <c r="AC38" s="217"/>
      <c r="AD38" s="60"/>
      <c r="AE38" s="123"/>
      <c r="AF38" s="60"/>
      <c r="AG38" s="60"/>
      <c r="AH38" s="60">
        <f>AG38/10*12</f>
        <v>0</v>
      </c>
      <c r="AI38" s="60">
        <f t="shared" si="9"/>
        <v>0</v>
      </c>
      <c r="AJ38" s="60"/>
      <c r="AK38" s="60">
        <f t="shared" si="24"/>
        <v>0</v>
      </c>
      <c r="AL38" s="60"/>
      <c r="AM38" s="60"/>
      <c r="AN38" s="217"/>
      <c r="AO38" s="217"/>
      <c r="AP38" s="222"/>
      <c r="AQ38" s="65"/>
      <c r="AR38" s="69">
        <f t="shared" si="10"/>
        <v>0</v>
      </c>
      <c r="AS38" s="415"/>
      <c r="AT38" s="65"/>
      <c r="AU38" s="55"/>
      <c r="AV38" s="55"/>
      <c r="AW38" s="430"/>
      <c r="AX38" s="430"/>
      <c r="AY38" s="69">
        <f>AX38</f>
        <v>0</v>
      </c>
      <c r="AZ38" s="69">
        <f t="shared" si="15"/>
        <v>0</v>
      </c>
      <c r="BA38" s="69">
        <f t="shared" si="15"/>
        <v>0</v>
      </c>
      <c r="BB38" s="501"/>
      <c r="BC38" s="501"/>
      <c r="BD38" s="501"/>
      <c r="BE38" s="501"/>
      <c r="BF38" s="221"/>
      <c r="BG38" s="517">
        <f t="shared" si="16"/>
        <v>0</v>
      </c>
      <c r="BH38" s="564"/>
      <c r="BI38" s="578"/>
      <c r="BJ38" s="65"/>
      <c r="BK38" s="65"/>
      <c r="BL38" s="69"/>
      <c r="BM38" s="55"/>
      <c r="BN38" s="55"/>
      <c r="BO38" s="55"/>
      <c r="BP38" s="55"/>
      <c r="BQ38" s="223"/>
      <c r="BR38" s="55"/>
      <c r="BS38" s="223"/>
      <c r="BT38" s="223"/>
      <c r="BU38" s="866"/>
      <c r="BV38" s="347"/>
      <c r="BW38" s="754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</row>
    <row r="39" spans="1:90" s="39" customFormat="1" x14ac:dyDescent="0.25">
      <c r="A39" s="59" t="s">
        <v>30</v>
      </c>
      <c r="B39" s="60" t="s">
        <v>140</v>
      </c>
      <c r="C39" s="60">
        <v>49515888</v>
      </c>
      <c r="D39" s="60">
        <v>31465740</v>
      </c>
      <c r="E39" s="60">
        <v>41768471</v>
      </c>
      <c r="F39" s="60">
        <f>33747566+2207840+484196</f>
        <v>36439602</v>
      </c>
      <c r="G39" s="60">
        <v>41041768</v>
      </c>
      <c r="H39" s="60">
        <v>36176983</v>
      </c>
      <c r="I39" s="60">
        <f>H39+2216937</f>
        <v>38393920</v>
      </c>
      <c r="J39" s="60">
        <v>44032158</v>
      </c>
      <c r="K39" s="60">
        <v>31001585</v>
      </c>
      <c r="L39" s="60" t="e">
        <f>44032158-(4760554-2121217)-437011-935038-9759187-#REF!+#REF!+740000</f>
        <v>#REF!</v>
      </c>
      <c r="M39" s="38" t="e">
        <f t="shared" si="1"/>
        <v>#REF!</v>
      </c>
      <c r="N39" s="38"/>
      <c r="O39" s="60">
        <v>26801586</v>
      </c>
      <c r="P39" s="60">
        <v>21910818</v>
      </c>
      <c r="Q39" s="60">
        <v>24423005</v>
      </c>
      <c r="R39" s="60">
        <f>23678400+5834400+24000+556560+700000</f>
        <v>30793360</v>
      </c>
      <c r="S39" s="60">
        <v>29904361</v>
      </c>
      <c r="T39" s="60">
        <v>29542281</v>
      </c>
      <c r="U39" s="60">
        <f>47871508-105000-14000000-2000000-1800000</f>
        <v>29966508</v>
      </c>
      <c r="V39" s="124">
        <f t="shared" si="3"/>
        <v>29966508</v>
      </c>
      <c r="W39" s="124">
        <f t="shared" si="4"/>
        <v>29966508</v>
      </c>
      <c r="X39" s="123">
        <f t="shared" si="5"/>
        <v>98.584329545504602</v>
      </c>
      <c r="Y39" s="38"/>
      <c r="Z39" s="140">
        <f t="shared" si="6"/>
        <v>1.0143599947478665</v>
      </c>
      <c r="AA39" s="172">
        <f t="shared" ref="AA39:AA55" si="25">W39</f>
        <v>29966508</v>
      </c>
      <c r="AB39" s="60">
        <v>15734405</v>
      </c>
      <c r="AC39" s="217">
        <v>21263547</v>
      </c>
      <c r="AD39" s="60">
        <v>23993042</v>
      </c>
      <c r="AE39" s="122">
        <f t="shared" si="7"/>
        <v>80.066192564045167</v>
      </c>
      <c r="AF39" s="60">
        <v>29466508</v>
      </c>
      <c r="AG39" s="60">
        <v>26967128</v>
      </c>
      <c r="AH39" s="60">
        <f t="shared" ref="AH39:AH55" si="26">AG39/10*12</f>
        <v>32360553.599999998</v>
      </c>
      <c r="AI39" s="60">
        <f>(AH39*1.064)+3000000</f>
        <v>37431629.030400001</v>
      </c>
      <c r="AJ39" s="60"/>
      <c r="AK39" s="60">
        <f>37431629.0304-3000000+201626</f>
        <v>34633255.030400001</v>
      </c>
      <c r="AL39" s="60"/>
      <c r="AM39" s="60">
        <v>32399944</v>
      </c>
      <c r="AN39" s="217"/>
      <c r="AO39" s="217"/>
      <c r="AP39" s="217">
        <v>33671255</v>
      </c>
      <c r="AQ39" s="60">
        <v>29028545</v>
      </c>
      <c r="AR39" s="124">
        <f t="shared" si="10"/>
        <v>4642710</v>
      </c>
      <c r="AS39" s="425">
        <f t="shared" si="11"/>
        <v>86.211651451661069</v>
      </c>
      <c r="AT39" s="60">
        <v>32242134</v>
      </c>
      <c r="AU39" s="60">
        <f t="shared" si="12"/>
        <v>1429121</v>
      </c>
      <c r="AV39" s="60">
        <f t="shared" si="13"/>
        <v>4.2443354130993924</v>
      </c>
      <c r="AW39" s="426">
        <v>34633255</v>
      </c>
      <c r="AX39" s="217">
        <f>AW39*1.08</f>
        <v>37403915.400000006</v>
      </c>
      <c r="AY39" s="124">
        <f t="shared" ref="AY39:AZ100" si="27">AX39</f>
        <v>37403915.400000006</v>
      </c>
      <c r="AZ39" s="476">
        <f>27531528+7724856</f>
        <v>35256384</v>
      </c>
      <c r="BA39" s="124">
        <v>37403915.400000006</v>
      </c>
      <c r="BB39" s="60">
        <v>35256384</v>
      </c>
      <c r="BC39" s="60">
        <v>33138458</v>
      </c>
      <c r="BD39" s="60">
        <v>22795691</v>
      </c>
      <c r="BE39" s="60">
        <v>30089549</v>
      </c>
      <c r="BF39" s="60">
        <v>33438064</v>
      </c>
      <c r="BG39" s="329">
        <f>BF39/11*12</f>
        <v>36477888</v>
      </c>
      <c r="BH39" s="217">
        <f>40590133+1430000</f>
        <v>42020133</v>
      </c>
      <c r="BI39" s="60">
        <v>41051268</v>
      </c>
      <c r="BJ39" s="60">
        <v>22738073</v>
      </c>
      <c r="BK39" s="60">
        <v>39006856</v>
      </c>
      <c r="BL39" s="60">
        <v>41051268</v>
      </c>
      <c r="BM39" s="60">
        <f>50075152-2500000</f>
        <v>47575152</v>
      </c>
      <c r="BN39" s="60">
        <f>50075152</f>
        <v>50075152</v>
      </c>
      <c r="BO39" s="60">
        <v>37344828</v>
      </c>
      <c r="BP39" s="60">
        <f>BO39/10*12+3836246</f>
        <v>48650039.599999994</v>
      </c>
      <c r="BQ39" s="217">
        <f>BP39*1.1</f>
        <v>53515043.559999995</v>
      </c>
      <c r="BR39" s="60">
        <v>49295173</v>
      </c>
      <c r="BS39" s="217">
        <f>49295173+9000000+2700000</f>
        <v>60995173</v>
      </c>
      <c r="BT39" s="217">
        <f>49295173+9000000+2700000</f>
        <v>60995173</v>
      </c>
      <c r="BU39" s="868">
        <v>73845692</v>
      </c>
      <c r="BV39" s="873">
        <v>64320289</v>
      </c>
      <c r="BW39" s="754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</row>
    <row r="40" spans="1:90" s="39" customFormat="1" x14ac:dyDescent="0.25">
      <c r="A40" s="59" t="s">
        <v>226</v>
      </c>
      <c r="B40" s="60" t="s">
        <v>227</v>
      </c>
      <c r="C40" s="60">
        <v>0</v>
      </c>
      <c r="D40" s="60"/>
      <c r="E40" s="60"/>
      <c r="F40" s="60"/>
      <c r="G40" s="60">
        <v>2237715</v>
      </c>
      <c r="H40" s="60">
        <v>2207840</v>
      </c>
      <c r="I40" s="60">
        <f>H40+1294266</f>
        <v>3502106</v>
      </c>
      <c r="J40" s="60"/>
      <c r="K40" s="60"/>
      <c r="L40" s="60"/>
      <c r="M40" s="38">
        <f t="shared" si="1"/>
        <v>0</v>
      </c>
      <c r="N40" s="38"/>
      <c r="O40" s="60">
        <v>300000</v>
      </c>
      <c r="P40" s="60">
        <v>104275</v>
      </c>
      <c r="Q40" s="60">
        <v>104275</v>
      </c>
      <c r="R40" s="60"/>
      <c r="S40" s="60">
        <v>1463621</v>
      </c>
      <c r="T40" s="60">
        <v>1463621</v>
      </c>
      <c r="U40" s="60">
        <v>105000</v>
      </c>
      <c r="V40" s="124">
        <f t="shared" si="3"/>
        <v>105000</v>
      </c>
      <c r="W40" s="124">
        <f t="shared" si="4"/>
        <v>105000</v>
      </c>
      <c r="X40" s="123">
        <f t="shared" si="5"/>
        <v>1393.9247619047619</v>
      </c>
      <c r="Y40" s="38"/>
      <c r="Z40" s="140">
        <f t="shared" si="6"/>
        <v>7.1739883480764488E-2</v>
      </c>
      <c r="AA40" s="172">
        <f t="shared" si="25"/>
        <v>105000</v>
      </c>
      <c r="AB40" s="60">
        <v>0</v>
      </c>
      <c r="AC40" s="217">
        <v>0</v>
      </c>
      <c r="AD40" s="60"/>
      <c r="AE40" s="122">
        <f t="shared" si="7"/>
        <v>0</v>
      </c>
      <c r="AF40" s="60">
        <v>105000</v>
      </c>
      <c r="AG40" s="60"/>
      <c r="AH40" s="60">
        <f t="shared" si="26"/>
        <v>0</v>
      </c>
      <c r="AI40" s="60">
        <f>AH40*1.02</f>
        <v>0</v>
      </c>
      <c r="AJ40" s="60"/>
      <c r="AK40" s="60">
        <f t="shared" si="24"/>
        <v>0</v>
      </c>
      <c r="AL40" s="60"/>
      <c r="AM40" s="60">
        <v>1458494</v>
      </c>
      <c r="AN40" s="217"/>
      <c r="AO40" s="217"/>
      <c r="AP40" s="217">
        <v>312000</v>
      </c>
      <c r="AQ40" s="60">
        <v>290948</v>
      </c>
      <c r="AR40" s="124">
        <f t="shared" si="10"/>
        <v>21052</v>
      </c>
      <c r="AS40" s="425">
        <f t="shared" si="11"/>
        <v>93.252564102564108</v>
      </c>
      <c r="AT40" s="60">
        <v>470320</v>
      </c>
      <c r="AU40" s="60">
        <f t="shared" si="12"/>
        <v>-158320</v>
      </c>
      <c r="AV40" s="60">
        <f t="shared" si="13"/>
        <v>-50.743589743589745</v>
      </c>
      <c r="AW40" s="426"/>
      <c r="AX40" s="217">
        <f t="shared" ref="AX40:AX55" si="28">AW40*1.08</f>
        <v>0</v>
      </c>
      <c r="AY40" s="124">
        <f t="shared" si="27"/>
        <v>0</v>
      </c>
      <c r="AZ40" s="124">
        <f t="shared" si="15"/>
        <v>0</v>
      </c>
      <c r="BA40" s="124">
        <v>0</v>
      </c>
      <c r="BB40" s="60">
        <v>0</v>
      </c>
      <c r="BC40" s="60">
        <v>1216426</v>
      </c>
      <c r="BD40" s="60">
        <v>1216426</v>
      </c>
      <c r="BE40" s="60">
        <v>1216426</v>
      </c>
      <c r="BF40" s="60">
        <v>1653536</v>
      </c>
      <c r="BG40" s="329">
        <f t="shared" ref="BG40:BG55" si="29">BF40/11*12</f>
        <v>1803857.4545454546</v>
      </c>
      <c r="BH40" s="217">
        <v>0</v>
      </c>
      <c r="BI40" s="60">
        <v>546320</v>
      </c>
      <c r="BJ40" s="60">
        <v>350152</v>
      </c>
      <c r="BK40" s="60">
        <v>740886</v>
      </c>
      <c r="BL40" s="60">
        <v>546320</v>
      </c>
      <c r="BM40" s="60">
        <f>BL40*1.16</f>
        <v>633731.19999999995</v>
      </c>
      <c r="BN40" s="60">
        <v>633731</v>
      </c>
      <c r="BO40" s="60">
        <v>472217</v>
      </c>
      <c r="BP40" s="60">
        <f t="shared" ref="BP40:BP55" si="30">BO40/10*12</f>
        <v>566660.39999999991</v>
      </c>
      <c r="BQ40" s="217">
        <f t="shared" ref="BQ40:BQ52" si="31">BP40*1.1</f>
        <v>623326.43999999994</v>
      </c>
      <c r="BR40" s="60">
        <v>623326</v>
      </c>
      <c r="BS40" s="217">
        <v>623326</v>
      </c>
      <c r="BT40" s="217">
        <v>623326</v>
      </c>
      <c r="BU40" s="868"/>
      <c r="BV40" s="873"/>
      <c r="BW40" s="754"/>
      <c r="BX40"/>
      <c r="BY40"/>
      <c r="BZ40" s="759"/>
      <c r="CA40"/>
      <c r="CB40"/>
      <c r="CC40"/>
      <c r="CD40"/>
      <c r="CE40"/>
      <c r="CF40"/>
      <c r="CG40"/>
      <c r="CH40"/>
      <c r="CI40"/>
      <c r="CJ40"/>
      <c r="CK40"/>
      <c r="CL40"/>
    </row>
    <row r="41" spans="1:90" s="39" customFormat="1" x14ac:dyDescent="0.25">
      <c r="A41" s="59" t="s">
        <v>31</v>
      </c>
      <c r="B41" s="60" t="s">
        <v>141</v>
      </c>
      <c r="C41" s="60">
        <v>343000</v>
      </c>
      <c r="D41" s="60">
        <v>0</v>
      </c>
      <c r="E41" s="60">
        <v>500000</v>
      </c>
      <c r="F41" s="60">
        <v>43072</v>
      </c>
      <c r="G41" s="60">
        <v>500000</v>
      </c>
      <c r="H41" s="60">
        <v>43072</v>
      </c>
      <c r="I41" s="60">
        <f>H41</f>
        <v>43072</v>
      </c>
      <c r="J41" s="60">
        <v>500000</v>
      </c>
      <c r="K41" s="60">
        <v>500000</v>
      </c>
      <c r="L41" s="60">
        <f t="shared" si="21"/>
        <v>500000</v>
      </c>
      <c r="M41" s="38">
        <f t="shared" si="1"/>
        <v>1160.8469539375928</v>
      </c>
      <c r="N41" s="38"/>
      <c r="O41" s="60">
        <v>500000</v>
      </c>
      <c r="P41" s="60"/>
      <c r="Q41" s="60"/>
      <c r="R41" s="60">
        <v>500000</v>
      </c>
      <c r="S41" s="60">
        <v>0</v>
      </c>
      <c r="T41" s="60">
        <v>0</v>
      </c>
      <c r="U41" s="60">
        <v>500000</v>
      </c>
      <c r="V41" s="124">
        <f t="shared" si="3"/>
        <v>500000</v>
      </c>
      <c r="W41" s="124">
        <f t="shared" si="4"/>
        <v>500000</v>
      </c>
      <c r="X41" s="123">
        <f t="shared" si="5"/>
        <v>0</v>
      </c>
      <c r="Y41" s="38"/>
      <c r="Z41" s="140" t="e">
        <f t="shared" si="6"/>
        <v>#DIV/0!</v>
      </c>
      <c r="AA41" s="172">
        <f t="shared" si="25"/>
        <v>500000</v>
      </c>
      <c r="AB41" s="60">
        <v>0</v>
      </c>
      <c r="AC41" s="217">
        <v>42677</v>
      </c>
      <c r="AD41" s="60">
        <v>42677</v>
      </c>
      <c r="AE41" s="122">
        <f t="shared" si="7"/>
        <v>8.5353999999999992</v>
      </c>
      <c r="AF41" s="60">
        <v>500000</v>
      </c>
      <c r="AG41" s="60">
        <v>63569</v>
      </c>
      <c r="AH41" s="60">
        <f t="shared" si="26"/>
        <v>76282.799999999988</v>
      </c>
      <c r="AI41" s="60">
        <f t="shared" si="9"/>
        <v>77808.455999999991</v>
      </c>
      <c r="AJ41" s="60"/>
      <c r="AK41" s="60">
        <f t="shared" si="24"/>
        <v>77808.455999999991</v>
      </c>
      <c r="AL41" s="60"/>
      <c r="AM41" s="60">
        <v>63569</v>
      </c>
      <c r="AN41" s="217"/>
      <c r="AO41" s="217"/>
      <c r="AP41" s="217">
        <v>77808</v>
      </c>
      <c r="AQ41" s="60">
        <v>59498</v>
      </c>
      <c r="AR41" s="124">
        <f t="shared" si="10"/>
        <v>18310</v>
      </c>
      <c r="AS41" s="425">
        <f t="shared" si="11"/>
        <v>76.467715402015216</v>
      </c>
      <c r="AT41" s="60">
        <v>143502</v>
      </c>
      <c r="AU41" s="60">
        <f t="shared" si="12"/>
        <v>-65694</v>
      </c>
      <c r="AV41" s="60">
        <f t="shared" si="13"/>
        <v>-84.430906847624925</v>
      </c>
      <c r="AW41" s="426">
        <v>77808</v>
      </c>
      <c r="AX41" s="217">
        <f t="shared" si="28"/>
        <v>84032.639999999999</v>
      </c>
      <c r="AY41" s="124">
        <f t="shared" si="27"/>
        <v>84032.639999999999</v>
      </c>
      <c r="AZ41" s="124">
        <v>80920</v>
      </c>
      <c r="BA41" s="124">
        <v>84032.639999999999</v>
      </c>
      <c r="BB41" s="60">
        <v>80920</v>
      </c>
      <c r="BC41" s="60">
        <v>323204</v>
      </c>
      <c r="BD41" s="60">
        <v>310606</v>
      </c>
      <c r="BE41" s="60">
        <v>500158</v>
      </c>
      <c r="BF41" s="60">
        <v>500158</v>
      </c>
      <c r="BG41" s="329">
        <f t="shared" si="29"/>
        <v>545626.90909090906</v>
      </c>
      <c r="BH41" s="217">
        <v>500000</v>
      </c>
      <c r="BI41" s="60">
        <v>500000</v>
      </c>
      <c r="BJ41" s="60">
        <v>77383</v>
      </c>
      <c r="BK41" s="60">
        <v>155484</v>
      </c>
      <c r="BL41" s="60">
        <v>500000</v>
      </c>
      <c r="BM41" s="60">
        <v>500000</v>
      </c>
      <c r="BN41" s="60">
        <v>500000</v>
      </c>
      <c r="BO41" s="60"/>
      <c r="BP41" s="60">
        <f t="shared" si="30"/>
        <v>0</v>
      </c>
      <c r="BQ41" s="217">
        <f t="shared" si="31"/>
        <v>0</v>
      </c>
      <c r="BR41" s="60"/>
      <c r="BS41" s="217"/>
      <c r="BT41" s="217"/>
      <c r="BU41" s="868">
        <v>500000</v>
      </c>
      <c r="BV41" s="873"/>
      <c r="BW41" s="754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</row>
    <row r="42" spans="1:90" s="39" customFormat="1" x14ac:dyDescent="0.25">
      <c r="A42" s="59" t="s">
        <v>32</v>
      </c>
      <c r="B42" s="62" t="s">
        <v>198</v>
      </c>
      <c r="C42" s="60">
        <v>0</v>
      </c>
      <c r="D42" s="60">
        <v>0</v>
      </c>
      <c r="E42" s="60">
        <v>0</v>
      </c>
      <c r="F42" s="60"/>
      <c r="G42" s="60"/>
      <c r="H42" s="60"/>
      <c r="I42" s="60">
        <f t="shared" si="0"/>
        <v>0</v>
      </c>
      <c r="J42" s="60">
        <v>0</v>
      </c>
      <c r="K42" s="60">
        <v>0</v>
      </c>
      <c r="L42" s="60">
        <f t="shared" si="21"/>
        <v>0</v>
      </c>
      <c r="M42" s="38">
        <f t="shared" si="1"/>
        <v>0</v>
      </c>
      <c r="N42" s="38"/>
      <c r="O42" s="60"/>
      <c r="P42" s="60"/>
      <c r="Q42" s="60"/>
      <c r="R42" s="60"/>
      <c r="S42" s="60"/>
      <c r="T42" s="60"/>
      <c r="U42" s="60"/>
      <c r="V42" s="124">
        <f t="shared" si="3"/>
        <v>0</v>
      </c>
      <c r="W42" s="124">
        <f t="shared" si="4"/>
        <v>0</v>
      </c>
      <c r="X42" s="123"/>
      <c r="Y42" s="38"/>
      <c r="Z42" s="140" t="e">
        <f t="shared" si="6"/>
        <v>#DIV/0!</v>
      </c>
      <c r="AA42" s="172">
        <f t="shared" si="25"/>
        <v>0</v>
      </c>
      <c r="AB42" s="60"/>
      <c r="AC42" s="217"/>
      <c r="AD42" s="60"/>
      <c r="AE42" s="122"/>
      <c r="AF42" s="60"/>
      <c r="AG42" s="60"/>
      <c r="AH42" s="60">
        <f t="shared" si="26"/>
        <v>0</v>
      </c>
      <c r="AI42" s="60">
        <f t="shared" si="9"/>
        <v>0</v>
      </c>
      <c r="AJ42" s="60"/>
      <c r="AK42" s="60">
        <f t="shared" si="24"/>
        <v>0</v>
      </c>
      <c r="AL42" s="60"/>
      <c r="AM42" s="60"/>
      <c r="AN42" s="217"/>
      <c r="AO42" s="217"/>
      <c r="AP42" s="217"/>
      <c r="AQ42" s="60"/>
      <c r="AR42" s="124">
        <f t="shared" si="10"/>
        <v>0</v>
      </c>
      <c r="AS42" s="425" t="e">
        <f t="shared" si="11"/>
        <v>#DIV/0!</v>
      </c>
      <c r="AT42" s="60"/>
      <c r="AU42" s="60">
        <f t="shared" si="12"/>
        <v>0</v>
      </c>
      <c r="AV42" s="60" t="e">
        <f t="shared" si="13"/>
        <v>#DIV/0!</v>
      </c>
      <c r="AW42" s="426"/>
      <c r="AX42" s="217">
        <f t="shared" si="28"/>
        <v>0</v>
      </c>
      <c r="AY42" s="124">
        <f t="shared" si="27"/>
        <v>0</v>
      </c>
      <c r="AZ42" s="124">
        <f t="shared" si="15"/>
        <v>0</v>
      </c>
      <c r="BA42" s="124">
        <v>0</v>
      </c>
      <c r="BB42" s="60"/>
      <c r="BC42" s="60"/>
      <c r="BD42" s="60"/>
      <c r="BE42" s="60"/>
      <c r="BF42" s="60"/>
      <c r="BG42" s="329">
        <f t="shared" si="29"/>
        <v>0</v>
      </c>
      <c r="BH42" s="217">
        <v>0</v>
      </c>
      <c r="BI42" s="60">
        <v>0</v>
      </c>
      <c r="BJ42" s="60"/>
      <c r="BK42" s="60"/>
      <c r="BL42" s="60">
        <v>0</v>
      </c>
      <c r="BM42" s="60">
        <f t="shared" ref="BM42:BN47" si="32">BL42*1.14</f>
        <v>0</v>
      </c>
      <c r="BN42" s="60">
        <f t="shared" si="32"/>
        <v>0</v>
      </c>
      <c r="BO42" s="501">
        <v>2159592</v>
      </c>
      <c r="BP42" s="60">
        <f t="shared" si="30"/>
        <v>2591510.4000000004</v>
      </c>
      <c r="BQ42" s="217">
        <f t="shared" si="31"/>
        <v>2850661.4400000004</v>
      </c>
      <c r="BR42" s="60"/>
      <c r="BS42" s="217"/>
      <c r="BT42" s="217"/>
      <c r="BU42" s="868"/>
      <c r="BV42" s="873"/>
      <c r="BW42" s="754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</row>
    <row r="43" spans="1:90" s="39" customFormat="1" x14ac:dyDescent="0.25">
      <c r="A43" s="59" t="s">
        <v>33</v>
      </c>
      <c r="B43" s="60" t="s">
        <v>142</v>
      </c>
      <c r="C43" s="60">
        <v>124506</v>
      </c>
      <c r="D43" s="60">
        <v>0</v>
      </c>
      <c r="E43" s="60">
        <v>70125</v>
      </c>
      <c r="F43" s="60">
        <v>0</v>
      </c>
      <c r="G43" s="60">
        <v>70125</v>
      </c>
      <c r="H43" s="60">
        <v>0</v>
      </c>
      <c r="I43" s="60">
        <f t="shared" si="0"/>
        <v>0</v>
      </c>
      <c r="J43" s="60">
        <v>104275</v>
      </c>
      <c r="K43" s="60">
        <v>104275</v>
      </c>
      <c r="L43" s="60">
        <v>104275</v>
      </c>
      <c r="M43" s="38">
        <f t="shared" si="1"/>
        <v>0</v>
      </c>
      <c r="N43" s="38"/>
      <c r="O43" s="60">
        <v>104275</v>
      </c>
      <c r="P43" s="60"/>
      <c r="Q43" s="60"/>
      <c r="R43" s="60">
        <v>104275</v>
      </c>
      <c r="S43" s="60">
        <v>0</v>
      </c>
      <c r="T43" s="60">
        <v>0</v>
      </c>
      <c r="U43" s="60">
        <v>109203</v>
      </c>
      <c r="V43" s="124">
        <f t="shared" si="3"/>
        <v>109203</v>
      </c>
      <c r="W43" s="124">
        <f t="shared" si="4"/>
        <v>109203</v>
      </c>
      <c r="X43" s="123">
        <f t="shared" si="5"/>
        <v>0</v>
      </c>
      <c r="Y43" s="38"/>
      <c r="Z43" s="140" t="e">
        <f t="shared" si="6"/>
        <v>#DIV/0!</v>
      </c>
      <c r="AA43" s="172">
        <f t="shared" si="25"/>
        <v>109203</v>
      </c>
      <c r="AB43" s="60">
        <v>0</v>
      </c>
      <c r="AC43" s="217"/>
      <c r="AD43" s="60"/>
      <c r="AE43" s="122">
        <f t="shared" si="7"/>
        <v>0</v>
      </c>
      <c r="AF43" s="60">
        <v>109203</v>
      </c>
      <c r="AG43" s="60"/>
      <c r="AH43" s="60">
        <f t="shared" si="26"/>
        <v>0</v>
      </c>
      <c r="AI43" s="60">
        <f t="shared" si="9"/>
        <v>0</v>
      </c>
      <c r="AJ43" s="60"/>
      <c r="AK43" s="60">
        <f t="shared" si="24"/>
        <v>0</v>
      </c>
      <c r="AL43" s="60"/>
      <c r="AM43" s="60">
        <v>116176</v>
      </c>
      <c r="AN43" s="217"/>
      <c r="AO43" s="217"/>
      <c r="AP43" s="217"/>
      <c r="AQ43" s="60"/>
      <c r="AR43" s="124">
        <f t="shared" si="10"/>
        <v>0</v>
      </c>
      <c r="AS43" s="425" t="e">
        <f t="shared" si="11"/>
        <v>#DIV/0!</v>
      </c>
      <c r="AT43" s="60"/>
      <c r="AU43" s="60">
        <f t="shared" si="12"/>
        <v>0</v>
      </c>
      <c r="AV43" s="60" t="e">
        <f t="shared" si="13"/>
        <v>#DIV/0!</v>
      </c>
      <c r="AW43" s="426"/>
      <c r="AX43" s="217">
        <f t="shared" si="28"/>
        <v>0</v>
      </c>
      <c r="AY43" s="124">
        <f t="shared" si="27"/>
        <v>0</v>
      </c>
      <c r="AZ43" s="124">
        <f t="shared" si="15"/>
        <v>0</v>
      </c>
      <c r="BA43" s="124">
        <v>0</v>
      </c>
      <c r="BB43" s="60">
        <v>0</v>
      </c>
      <c r="BC43" s="60">
        <v>205364</v>
      </c>
      <c r="BD43" s="60">
        <v>205364</v>
      </c>
      <c r="BE43" s="60">
        <v>205364</v>
      </c>
      <c r="BF43" s="60">
        <v>205364</v>
      </c>
      <c r="BG43" s="329">
        <f t="shared" si="29"/>
        <v>224033.45454545453</v>
      </c>
      <c r="BH43" s="565">
        <v>1326438</v>
      </c>
      <c r="BI43" s="60">
        <v>1326438</v>
      </c>
      <c r="BJ43" s="60">
        <v>206137</v>
      </c>
      <c r="BK43" s="60">
        <v>1401771</v>
      </c>
      <c r="BL43" s="60">
        <v>1326438</v>
      </c>
      <c r="BM43" s="60">
        <v>1182149</v>
      </c>
      <c r="BN43" s="60">
        <v>1182149</v>
      </c>
      <c r="BO43" s="60">
        <v>416549</v>
      </c>
      <c r="BP43" s="60">
        <f t="shared" si="30"/>
        <v>499858.80000000005</v>
      </c>
      <c r="BQ43" s="217">
        <f t="shared" si="31"/>
        <v>549844.68000000005</v>
      </c>
      <c r="BR43" s="60"/>
      <c r="BS43" s="217"/>
      <c r="BT43" s="217"/>
      <c r="BU43" s="868"/>
      <c r="BV43" s="873"/>
      <c r="BW43" s="754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</row>
    <row r="44" spans="1:90" s="39" customFormat="1" x14ac:dyDescent="0.25">
      <c r="A44" s="59" t="s">
        <v>34</v>
      </c>
      <c r="B44" s="60" t="s">
        <v>143</v>
      </c>
      <c r="C44" s="60">
        <v>2605840</v>
      </c>
      <c r="D44" s="60">
        <v>1978853</v>
      </c>
      <c r="E44" s="60">
        <v>2760634</v>
      </c>
      <c r="F44" s="60">
        <v>2100492</v>
      </c>
      <c r="G44" s="60">
        <v>2760634</v>
      </c>
      <c r="H44" s="60">
        <v>2239933</v>
      </c>
      <c r="I44" s="60">
        <f>H44+104571+22465</f>
        <v>2366969</v>
      </c>
      <c r="J44" s="60">
        <v>1786483</v>
      </c>
      <c r="K44" s="60">
        <v>1786483</v>
      </c>
      <c r="L44" s="60" t="e">
        <f>1786483-125000+#REF!</f>
        <v>#REF!</v>
      </c>
      <c r="M44" s="38" t="e">
        <f t="shared" si="1"/>
        <v>#REF!</v>
      </c>
      <c r="N44" s="38"/>
      <c r="O44" s="60">
        <v>1786483</v>
      </c>
      <c r="P44" s="60">
        <v>1593520</v>
      </c>
      <c r="Q44" s="60">
        <v>1700845</v>
      </c>
      <c r="R44" s="60">
        <f>147384+1341081+298018</f>
        <v>1786483</v>
      </c>
      <c r="S44" s="60">
        <v>1981498</v>
      </c>
      <c r="T44" s="60">
        <v>1981498</v>
      </c>
      <c r="U44" s="60">
        <v>1786483</v>
      </c>
      <c r="V44" s="124">
        <f t="shared" si="3"/>
        <v>1786483</v>
      </c>
      <c r="W44" s="124">
        <f t="shared" si="4"/>
        <v>1786483</v>
      </c>
      <c r="X44" s="123">
        <f t="shared" si="5"/>
        <v>110.91614081969993</v>
      </c>
      <c r="Y44" s="38"/>
      <c r="Z44" s="140">
        <f t="shared" si="6"/>
        <v>0.90158203540957393</v>
      </c>
      <c r="AA44" s="172">
        <f t="shared" si="25"/>
        <v>1786483</v>
      </c>
      <c r="AB44" s="60">
        <v>1019550</v>
      </c>
      <c r="AC44" s="217">
        <v>1019550</v>
      </c>
      <c r="AD44" s="60">
        <v>1019550</v>
      </c>
      <c r="AE44" s="60">
        <v>1019550</v>
      </c>
      <c r="AF44" s="60">
        <v>1786483</v>
      </c>
      <c r="AG44" s="60">
        <v>1019550</v>
      </c>
      <c r="AH44" s="60">
        <f t="shared" si="26"/>
        <v>1223460</v>
      </c>
      <c r="AI44" s="60">
        <f t="shared" si="9"/>
        <v>1247929.2</v>
      </c>
      <c r="AJ44" s="60"/>
      <c r="AK44" s="60">
        <f t="shared" si="24"/>
        <v>1247929.2</v>
      </c>
      <c r="AL44" s="60"/>
      <c r="AM44" s="60">
        <v>1019550</v>
      </c>
      <c r="AN44" s="217"/>
      <c r="AO44" s="217"/>
      <c r="AP44" s="217">
        <v>1247929</v>
      </c>
      <c r="AQ44" s="60">
        <v>718684</v>
      </c>
      <c r="AR44" s="124">
        <f t="shared" si="10"/>
        <v>529245</v>
      </c>
      <c r="AS44" s="425">
        <f t="shared" si="11"/>
        <v>57.59013533622506</v>
      </c>
      <c r="AT44" s="60">
        <v>718684</v>
      </c>
      <c r="AU44" s="60">
        <f t="shared" si="12"/>
        <v>529245</v>
      </c>
      <c r="AV44" s="60">
        <f t="shared" si="13"/>
        <v>42.40986466377494</v>
      </c>
      <c r="AW44" s="426">
        <v>1247929</v>
      </c>
      <c r="AX44" s="217">
        <f t="shared" si="28"/>
        <v>1347763.32</v>
      </c>
      <c r="AY44" s="124">
        <f t="shared" si="27"/>
        <v>1347763.32</v>
      </c>
      <c r="AZ44" s="476">
        <f>1509430+226414+147384</f>
        <v>1883228</v>
      </c>
      <c r="BA44" s="124">
        <v>1347763.32</v>
      </c>
      <c r="BB44" s="60">
        <v>1883228</v>
      </c>
      <c r="BC44" s="60">
        <v>1883228</v>
      </c>
      <c r="BD44" s="60">
        <v>1043478</v>
      </c>
      <c r="BE44" s="60">
        <v>1043478</v>
      </c>
      <c r="BF44" s="60">
        <v>1043478</v>
      </c>
      <c r="BG44" s="329">
        <f t="shared" si="29"/>
        <v>1138339.6363636365</v>
      </c>
      <c r="BH44" s="217">
        <f>1800000+83333</f>
        <v>1883333</v>
      </c>
      <c r="BI44" s="60">
        <f>1800000+83333</f>
        <v>1883333</v>
      </c>
      <c r="BJ44" s="60">
        <v>1159137</v>
      </c>
      <c r="BK44" s="60">
        <v>1159137</v>
      </c>
      <c r="BL44" s="60">
        <f>1800000+83333</f>
        <v>1883333</v>
      </c>
      <c r="BM44" s="60">
        <v>2200000</v>
      </c>
      <c r="BN44" s="60">
        <v>2200000</v>
      </c>
      <c r="BO44" s="60">
        <v>1093750</v>
      </c>
      <c r="BP44" s="60">
        <f t="shared" si="30"/>
        <v>1312500</v>
      </c>
      <c r="BQ44" s="217">
        <f t="shared" si="31"/>
        <v>1443750.0000000002</v>
      </c>
      <c r="BR44" s="60">
        <v>1300000</v>
      </c>
      <c r="BS44" s="217">
        <v>1300000</v>
      </c>
      <c r="BT44" s="217">
        <v>1300000</v>
      </c>
      <c r="BU44" s="868">
        <v>2000000</v>
      </c>
      <c r="BV44" s="873">
        <v>1825000</v>
      </c>
      <c r="BW44" s="75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</row>
    <row r="45" spans="1:90" s="39" customFormat="1" x14ac:dyDescent="0.25">
      <c r="A45" s="59" t="s">
        <v>35</v>
      </c>
      <c r="B45" s="60" t="s">
        <v>144</v>
      </c>
      <c r="C45" s="60">
        <v>0</v>
      </c>
      <c r="D45" s="60">
        <v>0</v>
      </c>
      <c r="E45" s="60">
        <v>0</v>
      </c>
      <c r="F45" s="60">
        <v>28450</v>
      </c>
      <c r="G45" s="60">
        <v>50000</v>
      </c>
      <c r="H45" s="60">
        <v>28450</v>
      </c>
      <c r="I45" s="60">
        <f>H45</f>
        <v>28450</v>
      </c>
      <c r="J45" s="60">
        <v>1592862</v>
      </c>
      <c r="K45" s="60">
        <v>1592862</v>
      </c>
      <c r="L45" s="68">
        <v>1592862</v>
      </c>
      <c r="M45" s="38">
        <f t="shared" si="1"/>
        <v>5598.8119507908614</v>
      </c>
      <c r="N45" s="38"/>
      <c r="O45" s="60">
        <v>1592862</v>
      </c>
      <c r="P45" s="60"/>
      <c r="Q45" s="60"/>
      <c r="R45" s="60">
        <f>12000+1039662+108000+420000</f>
        <v>1579662</v>
      </c>
      <c r="S45" s="60">
        <v>74195</v>
      </c>
      <c r="T45" s="60">
        <v>74195</v>
      </c>
      <c r="U45" s="60">
        <f>1603662-60000-1200000</f>
        <v>343662</v>
      </c>
      <c r="V45" s="124">
        <f t="shared" si="3"/>
        <v>343662</v>
      </c>
      <c r="W45" s="124">
        <f t="shared" si="4"/>
        <v>343662</v>
      </c>
      <c r="X45" s="123">
        <f t="shared" si="5"/>
        <v>21.589526918891234</v>
      </c>
      <c r="Y45" s="38"/>
      <c r="Z45" s="140">
        <f t="shared" si="6"/>
        <v>4.6318754633061525</v>
      </c>
      <c r="AA45" s="172">
        <f t="shared" si="25"/>
        <v>343662</v>
      </c>
      <c r="AB45" s="60">
        <v>0</v>
      </c>
      <c r="AC45" s="217">
        <v>0</v>
      </c>
      <c r="AD45" s="60"/>
      <c r="AE45" s="122">
        <f t="shared" si="7"/>
        <v>0</v>
      </c>
      <c r="AF45" s="60">
        <v>343662</v>
      </c>
      <c r="AG45" s="60"/>
      <c r="AH45" s="60">
        <f t="shared" si="26"/>
        <v>0</v>
      </c>
      <c r="AI45" s="60">
        <f t="shared" si="9"/>
        <v>0</v>
      </c>
      <c r="AJ45" s="60"/>
      <c r="AK45" s="60">
        <f t="shared" si="24"/>
        <v>0</v>
      </c>
      <c r="AL45" s="60"/>
      <c r="AM45" s="60"/>
      <c r="AN45" s="217"/>
      <c r="AO45" s="217"/>
      <c r="AP45" s="217"/>
      <c r="AQ45" s="60"/>
      <c r="AR45" s="124">
        <f t="shared" si="10"/>
        <v>0</v>
      </c>
      <c r="AS45" s="425"/>
      <c r="AT45" s="60"/>
      <c r="AU45" s="60"/>
      <c r="AV45" s="60"/>
      <c r="AW45" s="426"/>
      <c r="AX45" s="217">
        <f t="shared" si="28"/>
        <v>0</v>
      </c>
      <c r="AY45" s="124">
        <f t="shared" si="27"/>
        <v>0</v>
      </c>
      <c r="AZ45" s="124">
        <f t="shared" si="15"/>
        <v>0</v>
      </c>
      <c r="BA45" s="124">
        <v>0</v>
      </c>
      <c r="BB45" s="60"/>
      <c r="BC45" s="60"/>
      <c r="BD45" s="60"/>
      <c r="BE45" s="60"/>
      <c r="BF45" s="60"/>
      <c r="BG45" s="329">
        <f t="shared" si="29"/>
        <v>0</v>
      </c>
      <c r="BH45" s="217">
        <v>0</v>
      </c>
      <c r="BI45" s="60">
        <v>0</v>
      </c>
      <c r="BJ45" s="60"/>
      <c r="BK45" s="60"/>
      <c r="BL45" s="60">
        <v>0</v>
      </c>
      <c r="BM45" s="60">
        <f t="shared" si="32"/>
        <v>0</v>
      </c>
      <c r="BN45" s="60">
        <f t="shared" si="32"/>
        <v>0</v>
      </c>
      <c r="BO45" s="60">
        <v>45520</v>
      </c>
      <c r="BP45" s="60">
        <f t="shared" si="30"/>
        <v>54624</v>
      </c>
      <c r="BQ45" s="217">
        <f t="shared" si="31"/>
        <v>60086.400000000001</v>
      </c>
      <c r="BR45" s="60">
        <v>60000</v>
      </c>
      <c r="BS45" s="217">
        <v>60000</v>
      </c>
      <c r="BT45" s="217">
        <v>60000</v>
      </c>
      <c r="BU45" s="868">
        <v>500000</v>
      </c>
      <c r="BV45" s="873"/>
      <c r="BW45" s="754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</row>
    <row r="46" spans="1:90" s="39" customFormat="1" x14ac:dyDescent="0.25">
      <c r="A46" s="59" t="s">
        <v>36</v>
      </c>
      <c r="B46" s="60" t="s">
        <v>145</v>
      </c>
      <c r="C46" s="60">
        <v>0</v>
      </c>
      <c r="D46" s="60">
        <v>0</v>
      </c>
      <c r="E46" s="60">
        <v>0</v>
      </c>
      <c r="F46" s="60">
        <v>377011</v>
      </c>
      <c r="G46" s="60">
        <v>500000</v>
      </c>
      <c r="H46" s="60">
        <v>377011</v>
      </c>
      <c r="I46" s="60">
        <f>H46+60000</f>
        <v>437011</v>
      </c>
      <c r="J46" s="60">
        <v>0</v>
      </c>
      <c r="K46" s="60">
        <v>437011</v>
      </c>
      <c r="L46" s="60">
        <v>437011</v>
      </c>
      <c r="M46" s="38">
        <f t="shared" si="1"/>
        <v>100</v>
      </c>
      <c r="N46" s="38"/>
      <c r="O46" s="60">
        <v>437011</v>
      </c>
      <c r="P46" s="60">
        <v>60000</v>
      </c>
      <c r="Q46" s="60">
        <v>60000</v>
      </c>
      <c r="R46" s="60">
        <v>0</v>
      </c>
      <c r="S46" s="60">
        <v>126000</v>
      </c>
      <c r="T46" s="60">
        <v>126000</v>
      </c>
      <c r="U46" s="60">
        <v>60000</v>
      </c>
      <c r="V46" s="124">
        <f t="shared" si="3"/>
        <v>60000</v>
      </c>
      <c r="W46" s="124">
        <f t="shared" si="4"/>
        <v>60000</v>
      </c>
      <c r="X46" s="123">
        <f t="shared" si="5"/>
        <v>210</v>
      </c>
      <c r="Y46" s="38"/>
      <c r="Z46" s="140">
        <f t="shared" si="6"/>
        <v>0.47619047619047616</v>
      </c>
      <c r="AA46" s="172">
        <f t="shared" si="25"/>
        <v>60000</v>
      </c>
      <c r="AB46" s="60">
        <v>0</v>
      </c>
      <c r="AC46" s="217">
        <v>56000</v>
      </c>
      <c r="AD46" s="60">
        <v>56000</v>
      </c>
      <c r="AE46" s="60">
        <v>56000</v>
      </c>
      <c r="AF46" s="60">
        <v>60000</v>
      </c>
      <c r="AG46" s="60">
        <v>56000</v>
      </c>
      <c r="AH46" s="60">
        <f t="shared" si="26"/>
        <v>67200</v>
      </c>
      <c r="AI46" s="60">
        <f t="shared" si="9"/>
        <v>68544</v>
      </c>
      <c r="AJ46" s="60"/>
      <c r="AK46" s="60">
        <f t="shared" si="24"/>
        <v>68544</v>
      </c>
      <c r="AL46" s="60"/>
      <c r="AM46" s="60">
        <v>110000</v>
      </c>
      <c r="AN46" s="217"/>
      <c r="AO46" s="217"/>
      <c r="AP46" s="217">
        <v>68544</v>
      </c>
      <c r="AQ46" s="60">
        <v>60000</v>
      </c>
      <c r="AR46" s="124">
        <f t="shared" si="10"/>
        <v>8544</v>
      </c>
      <c r="AS46" s="425">
        <f t="shared" si="11"/>
        <v>87.535014005602235</v>
      </c>
      <c r="AT46" s="60">
        <v>60000</v>
      </c>
      <c r="AU46" s="60">
        <f t="shared" si="12"/>
        <v>8544</v>
      </c>
      <c r="AV46" s="60">
        <f t="shared" si="13"/>
        <v>12.464985994397759</v>
      </c>
      <c r="AW46" s="426">
        <v>68544</v>
      </c>
      <c r="AX46" s="217">
        <f t="shared" si="28"/>
        <v>74027.520000000004</v>
      </c>
      <c r="AY46" s="124">
        <f t="shared" si="27"/>
        <v>74027.520000000004</v>
      </c>
      <c r="AZ46" s="124">
        <v>71286</v>
      </c>
      <c r="BA46" s="124">
        <v>74027.520000000004</v>
      </c>
      <c r="BB46" s="60">
        <v>71286</v>
      </c>
      <c r="BC46" s="60">
        <v>71286</v>
      </c>
      <c r="BD46" s="60">
        <v>60000</v>
      </c>
      <c r="BE46" s="60">
        <v>60000</v>
      </c>
      <c r="BF46" s="60">
        <v>60000</v>
      </c>
      <c r="BG46" s="329">
        <f t="shared" si="29"/>
        <v>65454.545454545456</v>
      </c>
      <c r="BH46" s="217">
        <v>108000</v>
      </c>
      <c r="BI46" s="60">
        <v>108000</v>
      </c>
      <c r="BJ46" s="60">
        <v>0</v>
      </c>
      <c r="BK46" s="60">
        <v>72000</v>
      </c>
      <c r="BL46" s="60">
        <v>108000</v>
      </c>
      <c r="BM46" s="60">
        <v>100000</v>
      </c>
      <c r="BN46" s="60">
        <v>100000</v>
      </c>
      <c r="BO46" s="60">
        <v>0</v>
      </c>
      <c r="BP46" s="60">
        <f t="shared" si="30"/>
        <v>0</v>
      </c>
      <c r="BQ46" s="217">
        <f t="shared" si="31"/>
        <v>0</v>
      </c>
      <c r="BR46" s="60"/>
      <c r="BS46" s="217"/>
      <c r="BT46" s="217"/>
      <c r="BU46" s="868"/>
      <c r="BV46" s="873"/>
      <c r="BW46" s="754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</row>
    <row r="47" spans="1:90" s="39" customFormat="1" x14ac:dyDescent="0.25">
      <c r="A47" s="59" t="s">
        <v>488</v>
      </c>
      <c r="B47" s="60" t="s">
        <v>495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38"/>
      <c r="N47" s="38"/>
      <c r="O47" s="60"/>
      <c r="P47" s="60"/>
      <c r="Q47" s="60"/>
      <c r="R47" s="60"/>
      <c r="S47" s="60"/>
      <c r="T47" s="60"/>
      <c r="U47" s="60"/>
      <c r="V47" s="124"/>
      <c r="W47" s="124"/>
      <c r="X47" s="123"/>
      <c r="Y47" s="38"/>
      <c r="Z47" s="140"/>
      <c r="AA47" s="172"/>
      <c r="AB47" s="60"/>
      <c r="AC47" s="217"/>
      <c r="AD47" s="60"/>
      <c r="AE47" s="60"/>
      <c r="AF47" s="60"/>
      <c r="AG47" s="60"/>
      <c r="AH47" s="60">
        <f t="shared" si="26"/>
        <v>0</v>
      </c>
      <c r="AI47" s="60"/>
      <c r="AJ47" s="60"/>
      <c r="AK47" s="60">
        <f t="shared" si="24"/>
        <v>0</v>
      </c>
      <c r="AL47" s="60"/>
      <c r="AM47" s="60"/>
      <c r="AN47" s="217"/>
      <c r="AO47" s="217"/>
      <c r="AP47" s="217"/>
      <c r="AQ47" s="60"/>
      <c r="AR47" s="124">
        <f t="shared" si="10"/>
        <v>0</v>
      </c>
      <c r="AS47" s="425"/>
      <c r="AT47" s="60"/>
      <c r="AU47" s="60"/>
      <c r="AV47" s="60"/>
      <c r="AW47" s="426"/>
      <c r="AX47" s="217">
        <f t="shared" si="28"/>
        <v>0</v>
      </c>
      <c r="AY47" s="124">
        <f t="shared" si="27"/>
        <v>0</v>
      </c>
      <c r="AZ47" s="124">
        <f t="shared" si="15"/>
        <v>0</v>
      </c>
      <c r="BA47" s="124">
        <v>0</v>
      </c>
      <c r="BB47" s="60"/>
      <c r="BC47" s="60"/>
      <c r="BD47" s="60"/>
      <c r="BE47" s="60"/>
      <c r="BF47" s="60"/>
      <c r="BG47" s="329">
        <f t="shared" si="29"/>
        <v>0</v>
      </c>
      <c r="BH47" s="217"/>
      <c r="BI47" s="60"/>
      <c r="BJ47" s="60"/>
      <c r="BK47" s="60"/>
      <c r="BL47" s="60"/>
      <c r="BM47" s="60">
        <f t="shared" si="32"/>
        <v>0</v>
      </c>
      <c r="BN47" s="60">
        <f t="shared" si="32"/>
        <v>0</v>
      </c>
      <c r="BO47" s="60"/>
      <c r="BP47" s="60">
        <f t="shared" si="30"/>
        <v>0</v>
      </c>
      <c r="BQ47" s="217">
        <f t="shared" si="31"/>
        <v>0</v>
      </c>
      <c r="BR47" s="60"/>
      <c r="BS47" s="217"/>
      <c r="BT47" s="217"/>
      <c r="BU47" s="868"/>
      <c r="BV47" s="873"/>
      <c r="BW47" s="754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</row>
    <row r="48" spans="1:90" s="39" customFormat="1" x14ac:dyDescent="0.25">
      <c r="A48" s="59" t="s">
        <v>228</v>
      </c>
      <c r="B48" s="60" t="s">
        <v>229</v>
      </c>
      <c r="C48" s="60">
        <v>0</v>
      </c>
      <c r="D48" s="60"/>
      <c r="E48" s="60"/>
      <c r="F48" s="60"/>
      <c r="G48" s="60">
        <v>717596</v>
      </c>
      <c r="H48" s="60">
        <v>618204</v>
      </c>
      <c r="I48" s="60">
        <f>H48+316834</f>
        <v>935038</v>
      </c>
      <c r="J48" s="60"/>
      <c r="K48" s="60">
        <v>935038</v>
      </c>
      <c r="L48" s="60">
        <v>935038</v>
      </c>
      <c r="M48" s="38">
        <f t="shared" si="1"/>
        <v>100</v>
      </c>
      <c r="N48" s="38"/>
      <c r="O48" s="60">
        <v>1235038</v>
      </c>
      <c r="P48" s="60">
        <v>935044</v>
      </c>
      <c r="Q48" s="60">
        <v>1040297</v>
      </c>
      <c r="R48" s="60">
        <f>1800000+321217</f>
        <v>2121217</v>
      </c>
      <c r="S48" s="60">
        <v>1128292</v>
      </c>
      <c r="T48" s="60">
        <v>1128292</v>
      </c>
      <c r="U48" s="60">
        <f>1200000</f>
        <v>1200000</v>
      </c>
      <c r="V48" s="124">
        <f t="shared" si="3"/>
        <v>1200000</v>
      </c>
      <c r="W48" s="124">
        <f t="shared" si="4"/>
        <v>1200000</v>
      </c>
      <c r="X48" s="123">
        <f t="shared" si="5"/>
        <v>94.024333333333331</v>
      </c>
      <c r="Y48" s="38"/>
      <c r="Z48" s="140">
        <f t="shared" si="6"/>
        <v>1.0635544699421782</v>
      </c>
      <c r="AA48" s="172">
        <f t="shared" si="25"/>
        <v>1200000</v>
      </c>
      <c r="AB48" s="60">
        <v>513412</v>
      </c>
      <c r="AC48" s="217">
        <v>873376</v>
      </c>
      <c r="AD48" s="60">
        <v>920101</v>
      </c>
      <c r="AE48" s="122">
        <f t="shared" si="7"/>
        <v>76.675083333333333</v>
      </c>
      <c r="AF48" s="60">
        <v>1200000</v>
      </c>
      <c r="AG48" s="60">
        <v>951351</v>
      </c>
      <c r="AH48" s="60">
        <f t="shared" si="26"/>
        <v>1141621.2000000002</v>
      </c>
      <c r="AI48" s="60">
        <f t="shared" si="9"/>
        <v>1164453.6240000003</v>
      </c>
      <c r="AJ48" s="60"/>
      <c r="AK48" s="60">
        <f t="shared" si="24"/>
        <v>1164453.6240000003</v>
      </c>
      <c r="AL48" s="60"/>
      <c r="AM48" s="60">
        <v>1115444</v>
      </c>
      <c r="AN48" s="217"/>
      <c r="AO48" s="217"/>
      <c r="AP48" s="217">
        <v>1264454</v>
      </c>
      <c r="AQ48" s="60">
        <v>1111320</v>
      </c>
      <c r="AR48" s="124">
        <f t="shared" si="10"/>
        <v>153134</v>
      </c>
      <c r="AS48" s="425">
        <f t="shared" si="11"/>
        <v>87.889318235380642</v>
      </c>
      <c r="AT48" s="60">
        <v>1141005</v>
      </c>
      <c r="AU48" s="60">
        <f t="shared" si="12"/>
        <v>123449</v>
      </c>
      <c r="AV48" s="60">
        <f t="shared" si="13"/>
        <v>9.763028152862816</v>
      </c>
      <c r="AW48" s="426">
        <v>1164454</v>
      </c>
      <c r="AX48" s="217">
        <f t="shared" si="28"/>
        <v>1257610.32</v>
      </c>
      <c r="AY48" s="124">
        <f t="shared" si="27"/>
        <v>1257610.32</v>
      </c>
      <c r="AZ48" s="124">
        <f>AW48*1.04</f>
        <v>1211032.1600000001</v>
      </c>
      <c r="BA48" s="124">
        <v>1257610.32</v>
      </c>
      <c r="BB48" s="60">
        <v>1211032</v>
      </c>
      <c r="BC48" s="60">
        <v>1211032</v>
      </c>
      <c r="BD48" s="60">
        <v>667672</v>
      </c>
      <c r="BE48" s="60">
        <v>913848</v>
      </c>
      <c r="BF48" s="60">
        <v>963823</v>
      </c>
      <c r="BG48" s="329">
        <f t="shared" si="29"/>
        <v>1051443.2727272727</v>
      </c>
      <c r="BH48" s="217"/>
      <c r="BI48" s="60">
        <v>422545</v>
      </c>
      <c r="BJ48" s="60">
        <v>422545</v>
      </c>
      <c r="BK48" s="60">
        <v>756140</v>
      </c>
      <c r="BL48" s="60">
        <v>422545</v>
      </c>
      <c r="BM48" s="60">
        <v>500000</v>
      </c>
      <c r="BN48" s="60">
        <v>500000</v>
      </c>
      <c r="BO48" s="501">
        <v>2009908</v>
      </c>
      <c r="BP48" s="60">
        <f t="shared" si="30"/>
        <v>2411889.5999999996</v>
      </c>
      <c r="BQ48" s="217">
        <f t="shared" si="31"/>
        <v>2653078.5599999996</v>
      </c>
      <c r="BR48" s="60">
        <v>2500000</v>
      </c>
      <c r="BS48" s="217">
        <v>2500000</v>
      </c>
      <c r="BT48" s="217">
        <v>2500000</v>
      </c>
      <c r="BU48" s="868">
        <v>700000</v>
      </c>
      <c r="BV48" s="873"/>
      <c r="BW48" s="754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</row>
    <row r="49" spans="1:90" s="39" customFormat="1" x14ac:dyDescent="0.25">
      <c r="A49" s="59" t="s">
        <v>255</v>
      </c>
      <c r="B49" s="60" t="s">
        <v>755</v>
      </c>
      <c r="C49" s="60">
        <v>0</v>
      </c>
      <c r="D49" s="60"/>
      <c r="E49" s="60"/>
      <c r="F49" s="60"/>
      <c r="G49" s="60">
        <v>9553036</v>
      </c>
      <c r="H49" s="60">
        <v>7750625</v>
      </c>
      <c r="I49" s="60">
        <f>H49+2008562</f>
        <v>9759187</v>
      </c>
      <c r="J49" s="60"/>
      <c r="K49" s="60">
        <v>9759187</v>
      </c>
      <c r="L49" s="60">
        <v>9759187</v>
      </c>
      <c r="M49" s="38">
        <f t="shared" si="1"/>
        <v>100</v>
      </c>
      <c r="N49" s="38"/>
      <c r="O49" s="60">
        <v>12259187</v>
      </c>
      <c r="P49" s="60">
        <v>11382446</v>
      </c>
      <c r="Q49" s="60">
        <v>12636094</v>
      </c>
      <c r="R49" s="60">
        <f>16978434-6931080</f>
        <v>10047354</v>
      </c>
      <c r="S49" s="60">
        <v>15497212</v>
      </c>
      <c r="T49" s="60">
        <v>15497212</v>
      </c>
      <c r="U49" s="60">
        <v>14000000</v>
      </c>
      <c r="V49" s="124">
        <f t="shared" si="3"/>
        <v>14000000</v>
      </c>
      <c r="W49" s="124">
        <f t="shared" si="4"/>
        <v>14000000</v>
      </c>
      <c r="X49" s="123">
        <f t="shared" si="5"/>
        <v>110.69437142857143</v>
      </c>
      <c r="Y49" s="38"/>
      <c r="Z49" s="140">
        <f t="shared" si="6"/>
        <v>0.90338829977934099</v>
      </c>
      <c r="AA49" s="172">
        <f t="shared" si="25"/>
        <v>14000000</v>
      </c>
      <c r="AB49" s="60">
        <v>6705672</v>
      </c>
      <c r="AC49" s="217">
        <v>8881176</v>
      </c>
      <c r="AD49" s="60">
        <v>10013638</v>
      </c>
      <c r="AE49" s="122">
        <f t="shared" si="7"/>
        <v>71.52598571428571</v>
      </c>
      <c r="AF49" s="60">
        <v>14000000</v>
      </c>
      <c r="AG49" s="60">
        <v>11072293</v>
      </c>
      <c r="AH49" s="60">
        <f t="shared" si="26"/>
        <v>13286751.600000001</v>
      </c>
      <c r="AI49" s="60">
        <f t="shared" si="9"/>
        <v>13552486.632000001</v>
      </c>
      <c r="AJ49" s="60"/>
      <c r="AK49" s="60">
        <f t="shared" si="24"/>
        <v>13552486.632000001</v>
      </c>
      <c r="AL49" s="60"/>
      <c r="AM49" s="60">
        <v>15797835</v>
      </c>
      <c r="AN49" s="217"/>
      <c r="AO49" s="217"/>
      <c r="AP49" s="217">
        <v>13552487</v>
      </c>
      <c r="AQ49" s="60">
        <v>10705459</v>
      </c>
      <c r="AR49" s="124">
        <f t="shared" si="10"/>
        <v>2847028</v>
      </c>
      <c r="AS49" s="425">
        <f t="shared" si="11"/>
        <v>78.992579000444721</v>
      </c>
      <c r="AT49" s="60">
        <v>11866256</v>
      </c>
      <c r="AU49" s="60">
        <f t="shared" si="12"/>
        <v>1686231</v>
      </c>
      <c r="AV49" s="60">
        <f t="shared" si="13"/>
        <v>12.442225548712942</v>
      </c>
      <c r="AW49" s="426">
        <v>13552487</v>
      </c>
      <c r="AX49" s="217">
        <f t="shared" si="28"/>
        <v>14636685.960000001</v>
      </c>
      <c r="AY49" s="124">
        <f t="shared" si="27"/>
        <v>14636685.960000001</v>
      </c>
      <c r="AZ49" s="476">
        <v>17856468</v>
      </c>
      <c r="BA49" s="124">
        <v>14636685.960000001</v>
      </c>
      <c r="BB49" s="60">
        <v>17856468</v>
      </c>
      <c r="BC49" s="60">
        <v>17856468</v>
      </c>
      <c r="BD49" s="60">
        <v>8374096</v>
      </c>
      <c r="BE49" s="60">
        <v>10779968</v>
      </c>
      <c r="BF49" s="60">
        <v>11965520</v>
      </c>
      <c r="BG49" s="329">
        <f t="shared" si="29"/>
        <v>13053294.545454545</v>
      </c>
      <c r="BH49" s="217">
        <v>20256468</v>
      </c>
      <c r="BI49" s="60">
        <v>20256468</v>
      </c>
      <c r="BJ49" s="60">
        <v>9216150</v>
      </c>
      <c r="BK49" s="60">
        <v>15273814</v>
      </c>
      <c r="BL49" s="60">
        <v>20256468</v>
      </c>
      <c r="BM49" s="60">
        <v>18291277</v>
      </c>
      <c r="BN49" s="60">
        <v>18291277</v>
      </c>
      <c r="BO49" s="60">
        <v>15870188</v>
      </c>
      <c r="BP49" s="60">
        <f t="shared" si="30"/>
        <v>19044225.600000001</v>
      </c>
      <c r="BQ49" s="217">
        <f t="shared" si="31"/>
        <v>20948648.160000004</v>
      </c>
      <c r="BR49" s="60">
        <v>20000000</v>
      </c>
      <c r="BS49" s="217">
        <v>20000000</v>
      </c>
      <c r="BT49" s="217">
        <v>20000000</v>
      </c>
      <c r="BU49" s="868">
        <v>26701180</v>
      </c>
      <c r="BV49" s="873">
        <v>27840360</v>
      </c>
      <c r="BW49" s="754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</row>
    <row r="50" spans="1:90" s="39" customFormat="1" x14ac:dyDescent="0.25">
      <c r="A50" s="59" t="s">
        <v>37</v>
      </c>
      <c r="B50" s="60" t="s">
        <v>146</v>
      </c>
      <c r="C50" s="60">
        <v>421217</v>
      </c>
      <c r="D50" s="60">
        <v>12656938</v>
      </c>
      <c r="E50" s="60">
        <v>16740543</v>
      </c>
      <c r="F50" s="60">
        <f>3739503+6359624</f>
        <v>10099127</v>
      </c>
      <c r="G50" s="60">
        <v>4408899</v>
      </c>
      <c r="H50" s="60">
        <v>4408103</v>
      </c>
      <c r="I50" s="60">
        <f>H50+352451</f>
        <v>4760554</v>
      </c>
      <c r="J50" s="60">
        <v>2121217</v>
      </c>
      <c r="K50" s="60">
        <v>4760554</v>
      </c>
      <c r="L50" s="60">
        <f>4760554</f>
        <v>4760554</v>
      </c>
      <c r="M50" s="38">
        <f t="shared" si="1"/>
        <v>100</v>
      </c>
      <c r="N50" s="38"/>
      <c r="O50" s="60">
        <v>4760554</v>
      </c>
      <c r="P50" s="60">
        <v>3430626</v>
      </c>
      <c r="Q50" s="60">
        <v>3675408</v>
      </c>
      <c r="R50" s="60">
        <f>6931080</f>
        <v>6931080</v>
      </c>
      <c r="S50" s="60">
        <v>4563459</v>
      </c>
      <c r="T50" s="60">
        <v>4563459</v>
      </c>
      <c r="U50" s="60">
        <f>2621217+2000000</f>
        <v>4621217</v>
      </c>
      <c r="V50" s="124">
        <f t="shared" si="3"/>
        <v>4621217</v>
      </c>
      <c r="W50" s="124">
        <f t="shared" si="4"/>
        <v>4621217</v>
      </c>
      <c r="X50" s="123">
        <f t="shared" si="5"/>
        <v>98.750156073605723</v>
      </c>
      <c r="Y50" s="38"/>
      <c r="Z50" s="140">
        <f t="shared" si="6"/>
        <v>1.0126566273521904</v>
      </c>
      <c r="AA50" s="172">
        <f t="shared" si="25"/>
        <v>4621217</v>
      </c>
      <c r="AB50" s="60">
        <v>2570664</v>
      </c>
      <c r="AC50" s="217">
        <v>3785813</v>
      </c>
      <c r="AD50" s="60">
        <v>4122016</v>
      </c>
      <c r="AE50" s="122">
        <f t="shared" si="7"/>
        <v>89.197629109388288</v>
      </c>
      <c r="AF50" s="60">
        <v>4621217</v>
      </c>
      <c r="AG50" s="60">
        <v>4569301</v>
      </c>
      <c r="AH50" s="60">
        <f t="shared" si="26"/>
        <v>5483161.1999999993</v>
      </c>
      <c r="AI50" s="60">
        <f t="shared" si="9"/>
        <v>5592824.4239999996</v>
      </c>
      <c r="AJ50" s="60"/>
      <c r="AK50" s="60">
        <f t="shared" si="24"/>
        <v>5592824.4239999996</v>
      </c>
      <c r="AL50" s="60"/>
      <c r="AM50" s="60">
        <v>5946747</v>
      </c>
      <c r="AN50" s="217"/>
      <c r="AO50" s="217"/>
      <c r="AP50" s="217">
        <v>6092824</v>
      </c>
      <c r="AQ50" s="60">
        <v>5691064</v>
      </c>
      <c r="AR50" s="124">
        <f t="shared" si="10"/>
        <v>401760</v>
      </c>
      <c r="AS50" s="425">
        <f t="shared" si="11"/>
        <v>93.406013369170026</v>
      </c>
      <c r="AT50" s="60">
        <v>6390606</v>
      </c>
      <c r="AU50" s="60">
        <f t="shared" si="12"/>
        <v>-297782</v>
      </c>
      <c r="AV50" s="60">
        <f t="shared" si="13"/>
        <v>-4.8874216619419828</v>
      </c>
      <c r="AW50" s="426">
        <v>5592824</v>
      </c>
      <c r="AX50" s="217">
        <f t="shared" si="28"/>
        <v>6040249.9200000009</v>
      </c>
      <c r="AY50" s="124">
        <f t="shared" si="27"/>
        <v>6040249.9200000009</v>
      </c>
      <c r="AZ50" s="124">
        <v>3592824</v>
      </c>
      <c r="BA50" s="124">
        <v>6040249.9200000009</v>
      </c>
      <c r="BB50" s="60">
        <v>3592824</v>
      </c>
      <c r="BC50" s="60">
        <v>4046676</v>
      </c>
      <c r="BD50" s="60">
        <v>3702679</v>
      </c>
      <c r="BE50" s="60">
        <v>5088804</v>
      </c>
      <c r="BF50" s="60">
        <v>5281697</v>
      </c>
      <c r="BG50" s="329">
        <f t="shared" si="29"/>
        <v>5761851.2727272725</v>
      </c>
      <c r="BH50" s="566">
        <v>5761851</v>
      </c>
      <c r="BI50" s="61">
        <v>5761851</v>
      </c>
      <c r="BJ50" s="60">
        <v>3418333</v>
      </c>
      <c r="BK50" s="60">
        <v>5379232</v>
      </c>
      <c r="BL50" s="61">
        <v>5761851</v>
      </c>
      <c r="BM50" s="60">
        <v>3197000</v>
      </c>
      <c r="BN50" s="60">
        <v>3197000</v>
      </c>
      <c r="BO50" s="60">
        <v>3807543</v>
      </c>
      <c r="BP50" s="60">
        <f t="shared" si="30"/>
        <v>4569051.5999999996</v>
      </c>
      <c r="BQ50" s="217">
        <f t="shared" si="31"/>
        <v>5025956.76</v>
      </c>
      <c r="BR50" s="60">
        <v>5000000</v>
      </c>
      <c r="BS50" s="217">
        <v>5000000</v>
      </c>
      <c r="BT50" s="217">
        <v>5000000</v>
      </c>
      <c r="BU50" s="868">
        <v>8800000</v>
      </c>
      <c r="BV50" s="873">
        <v>18371449</v>
      </c>
      <c r="BW50" s="754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</row>
    <row r="51" spans="1:90" s="39" customFormat="1" x14ac:dyDescent="0.25">
      <c r="A51" s="59" t="s">
        <v>38</v>
      </c>
      <c r="B51" s="60" t="s">
        <v>754</v>
      </c>
      <c r="C51" s="60">
        <v>500000</v>
      </c>
      <c r="D51" s="60">
        <v>152916</v>
      </c>
      <c r="E51" s="60">
        <v>500000</v>
      </c>
      <c r="F51" s="60">
        <v>257507</v>
      </c>
      <c r="G51" s="60">
        <v>500000</v>
      </c>
      <c r="H51" s="60">
        <v>411159</v>
      </c>
      <c r="I51" s="60">
        <f>H51+104193</f>
        <v>515352</v>
      </c>
      <c r="J51" s="60">
        <v>500000</v>
      </c>
      <c r="K51" s="60">
        <v>500000</v>
      </c>
      <c r="L51" s="60">
        <f t="shared" si="21"/>
        <v>500000</v>
      </c>
      <c r="M51" s="38">
        <f t="shared" si="1"/>
        <v>97.021065213679194</v>
      </c>
      <c r="N51" s="38"/>
      <c r="O51" s="60">
        <v>1600000</v>
      </c>
      <c r="P51" s="60">
        <v>1445353</v>
      </c>
      <c r="Q51" s="60">
        <v>1576343</v>
      </c>
      <c r="R51" s="60">
        <v>500000</v>
      </c>
      <c r="S51" s="60">
        <v>2174586</v>
      </c>
      <c r="T51" s="60">
        <v>2174586</v>
      </c>
      <c r="U51" s="60">
        <v>1800000</v>
      </c>
      <c r="V51" s="124">
        <f t="shared" si="3"/>
        <v>1800000</v>
      </c>
      <c r="W51" s="124">
        <f t="shared" si="4"/>
        <v>1800000</v>
      </c>
      <c r="X51" s="123">
        <f t="shared" si="5"/>
        <v>120.81033333333333</v>
      </c>
      <c r="Y51" s="38"/>
      <c r="Z51" s="140">
        <f t="shared" si="6"/>
        <v>0.82774376364052749</v>
      </c>
      <c r="AA51" s="172">
        <f t="shared" si="25"/>
        <v>1800000</v>
      </c>
      <c r="AB51" s="60">
        <v>1418073</v>
      </c>
      <c r="AC51" s="217">
        <v>1873383</v>
      </c>
      <c r="AD51" s="60">
        <v>2073383</v>
      </c>
      <c r="AE51" s="122">
        <f t="shared" si="7"/>
        <v>115.18794444444444</v>
      </c>
      <c r="AF51" s="60">
        <v>2300000</v>
      </c>
      <c r="AG51" s="60">
        <v>2274253</v>
      </c>
      <c r="AH51" s="60">
        <f t="shared" si="26"/>
        <v>2729103.5999999996</v>
      </c>
      <c r="AI51" s="60">
        <f t="shared" si="9"/>
        <v>2783685.6719999998</v>
      </c>
      <c r="AJ51" s="60"/>
      <c r="AK51" s="60">
        <f t="shared" si="24"/>
        <v>2783685.6719999998</v>
      </c>
      <c r="AL51" s="60"/>
      <c r="AM51" s="60">
        <v>2607368</v>
      </c>
      <c r="AN51" s="217"/>
      <c r="AO51" s="217"/>
      <c r="AP51" s="217">
        <v>2933686</v>
      </c>
      <c r="AQ51" s="60">
        <v>2253486</v>
      </c>
      <c r="AR51" s="124">
        <f t="shared" si="10"/>
        <v>680200</v>
      </c>
      <c r="AS51" s="425">
        <f t="shared" si="11"/>
        <v>76.814151207729793</v>
      </c>
      <c r="AT51" s="60">
        <v>2638779</v>
      </c>
      <c r="AU51" s="60">
        <f t="shared" si="12"/>
        <v>294907</v>
      </c>
      <c r="AV51" s="60">
        <f t="shared" si="13"/>
        <v>10.052439149929475</v>
      </c>
      <c r="AW51" s="426">
        <v>2783686</v>
      </c>
      <c r="AX51" s="217">
        <f t="shared" si="28"/>
        <v>3006380.8800000004</v>
      </c>
      <c r="AY51" s="124">
        <f t="shared" si="27"/>
        <v>3006380.8800000004</v>
      </c>
      <c r="AZ51" s="124">
        <v>1783686</v>
      </c>
      <c r="BA51" s="124">
        <v>3006380.8800000004</v>
      </c>
      <c r="BB51" s="60">
        <v>1783686</v>
      </c>
      <c r="BC51" s="60">
        <v>1783686</v>
      </c>
      <c r="BD51" s="60">
        <v>1435180</v>
      </c>
      <c r="BE51" s="60">
        <v>1735180</v>
      </c>
      <c r="BF51" s="60">
        <v>1899264</v>
      </c>
      <c r="BG51" s="329">
        <f t="shared" si="29"/>
        <v>2071924.3636363638</v>
      </c>
      <c r="BH51" s="217">
        <v>4057000</v>
      </c>
      <c r="BI51" s="60">
        <v>4057000</v>
      </c>
      <c r="BJ51" s="60">
        <v>1234318</v>
      </c>
      <c r="BK51" s="60">
        <v>2034402</v>
      </c>
      <c r="BL51" s="60">
        <v>4057000</v>
      </c>
      <c r="BM51" s="60">
        <v>2200000</v>
      </c>
      <c r="BN51" s="60">
        <v>2200000</v>
      </c>
      <c r="BO51" s="60">
        <v>1592975</v>
      </c>
      <c r="BP51" s="60">
        <f t="shared" si="30"/>
        <v>1911570</v>
      </c>
      <c r="BQ51" s="217">
        <f t="shared" si="31"/>
        <v>2102727</v>
      </c>
      <c r="BR51" s="60">
        <v>2000000</v>
      </c>
      <c r="BS51" s="217">
        <v>2000000</v>
      </c>
      <c r="BT51" s="217">
        <v>2000000</v>
      </c>
      <c r="BU51" s="868">
        <v>1080000</v>
      </c>
      <c r="BV51" s="873">
        <v>720000</v>
      </c>
      <c r="BW51" s="754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</row>
    <row r="52" spans="1:90" s="39" customFormat="1" x14ac:dyDescent="0.25">
      <c r="A52" s="59" t="s">
        <v>597</v>
      </c>
      <c r="B52" s="59" t="s">
        <v>148</v>
      </c>
      <c r="C52" s="60">
        <v>11449798</v>
      </c>
      <c r="D52" s="60">
        <v>9534498.3399999999</v>
      </c>
      <c r="E52" s="60">
        <v>11688991</v>
      </c>
      <c r="F52" s="60">
        <v>9339833</v>
      </c>
      <c r="G52" s="60">
        <v>11688991</v>
      </c>
      <c r="H52" s="60">
        <v>10214895</v>
      </c>
      <c r="I52" s="60">
        <f>H52+1235035</f>
        <v>11449930</v>
      </c>
      <c r="J52" s="60">
        <v>9525850</v>
      </c>
      <c r="K52" s="60">
        <v>9670150.4000000004</v>
      </c>
      <c r="L52" s="60" t="e">
        <f>9525850-292328+#REF!+740000*0.195</f>
        <v>#REF!</v>
      </c>
      <c r="M52" s="38" t="e">
        <f t="shared" si="1"/>
        <v>#REF!</v>
      </c>
      <c r="N52" s="38"/>
      <c r="O52" s="60">
        <v>9670150</v>
      </c>
      <c r="P52" s="60">
        <v>6824416</v>
      </c>
      <c r="Q52" s="60">
        <v>7528730</v>
      </c>
      <c r="R52" s="60">
        <f>3721898+5107182+12869258+700000*0.195</f>
        <v>21834838</v>
      </c>
      <c r="S52" s="60">
        <f>9392906+24137</f>
        <v>9417043</v>
      </c>
      <c r="T52" s="60">
        <f>9392906+24137</f>
        <v>9417043</v>
      </c>
      <c r="U52" s="60">
        <v>10277589</v>
      </c>
      <c r="V52" s="124">
        <f t="shared" si="3"/>
        <v>10277589</v>
      </c>
      <c r="W52" s="124">
        <f t="shared" si="4"/>
        <v>10277589</v>
      </c>
      <c r="X52" s="123">
        <f t="shared" si="5"/>
        <v>91.626966207736075</v>
      </c>
      <c r="Y52" s="38"/>
      <c r="Z52" s="140">
        <f t="shared" si="6"/>
        <v>1.0913817638934005</v>
      </c>
      <c r="AA52" s="172">
        <f t="shared" si="25"/>
        <v>10277589</v>
      </c>
      <c r="AB52" s="60">
        <v>4894455</v>
      </c>
      <c r="AC52" s="217">
        <v>6565946</v>
      </c>
      <c r="AD52" s="60"/>
      <c r="AE52" s="122">
        <f t="shared" si="7"/>
        <v>0</v>
      </c>
      <c r="AF52" s="60">
        <v>10891106</v>
      </c>
      <c r="AG52" s="60">
        <v>8024466</v>
      </c>
      <c r="AH52" s="60">
        <f t="shared" si="26"/>
        <v>9629359.1999999993</v>
      </c>
      <c r="AI52" s="60">
        <f t="shared" si="9"/>
        <v>9821946.3839999996</v>
      </c>
      <c r="AJ52" s="60"/>
      <c r="AK52" s="60">
        <f t="shared" si="24"/>
        <v>9821946.3839999996</v>
      </c>
      <c r="AL52" s="60"/>
      <c r="AM52" s="60">
        <v>10522065</v>
      </c>
      <c r="AN52" s="217"/>
      <c r="AO52" s="217"/>
      <c r="AP52" s="217">
        <v>10161743</v>
      </c>
      <c r="AQ52" s="60">
        <v>8012084</v>
      </c>
      <c r="AR52" s="124">
        <f t="shared" si="10"/>
        <v>2149659</v>
      </c>
      <c r="AS52" s="425">
        <f t="shared" si="11"/>
        <v>78.845568127436408</v>
      </c>
      <c r="AT52" s="60">
        <v>8799296</v>
      </c>
      <c r="AU52" s="60">
        <f t="shared" si="12"/>
        <v>1362447</v>
      </c>
      <c r="AV52" s="60">
        <f t="shared" si="13"/>
        <v>13.407611272987321</v>
      </c>
      <c r="AW52" s="426">
        <v>10161743</v>
      </c>
      <c r="AX52" s="217">
        <f t="shared" si="28"/>
        <v>10974682.440000001</v>
      </c>
      <c r="AY52" s="124">
        <f t="shared" si="27"/>
        <v>10974682.440000001</v>
      </c>
      <c r="AZ52" s="476">
        <v>9569053</v>
      </c>
      <c r="BA52" s="124">
        <v>10974682.440000001</v>
      </c>
      <c r="BB52" s="60">
        <v>9569053</v>
      </c>
      <c r="BC52" s="60">
        <v>9569053</v>
      </c>
      <c r="BD52" s="60">
        <v>5575885</v>
      </c>
      <c r="BE52" s="60">
        <v>7113738</v>
      </c>
      <c r="BF52" s="60">
        <v>7875784</v>
      </c>
      <c r="BG52" s="329">
        <f t="shared" si="29"/>
        <v>8591764.3636363633</v>
      </c>
      <c r="BH52" s="217">
        <v>9868719</v>
      </c>
      <c r="BI52" s="60">
        <v>9868719</v>
      </c>
      <c r="BJ52" s="60">
        <v>4949143</v>
      </c>
      <c r="BK52" s="60">
        <v>8250062</v>
      </c>
      <c r="BL52" s="60">
        <v>9868719</v>
      </c>
      <c r="BM52" s="60">
        <f>(BM39+BM40+BM41+BM43+BM42+BM44+BM45+BM46+BM47+BM48+BM49+BM50+BM51)*0.13</f>
        <v>9929310.1960000005</v>
      </c>
      <c r="BN52" s="60">
        <f>(BN39+BN40+BN41+BN43+BN42+BN44+BN45+BN46+BN47+BN48+BN49+BN50+BN51)*0.13</f>
        <v>10254310.17</v>
      </c>
      <c r="BO52" s="60">
        <v>7771413</v>
      </c>
      <c r="BP52" s="60">
        <f t="shared" si="30"/>
        <v>9325695.6000000015</v>
      </c>
      <c r="BQ52" s="217">
        <f t="shared" si="31"/>
        <v>10258265.160000002</v>
      </c>
      <c r="BR52" s="60">
        <v>10517000</v>
      </c>
      <c r="BS52" s="217">
        <f>SUM(BS39:BS51)*0.13</f>
        <v>12022204.870000001</v>
      </c>
      <c r="BT52" s="217">
        <f>SUM(BT39:BT51)*0.13</f>
        <v>12022204.870000001</v>
      </c>
      <c r="BU52" s="868">
        <v>14836493</v>
      </c>
      <c r="BV52" s="873">
        <v>14462773</v>
      </c>
      <c r="BW52" s="754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</row>
    <row r="53" spans="1:90" s="39" customFormat="1" x14ac:dyDescent="0.25">
      <c r="A53" s="59" t="s">
        <v>40</v>
      </c>
      <c r="B53" s="59" t="s">
        <v>149</v>
      </c>
      <c r="C53" s="60">
        <v>434475</v>
      </c>
      <c r="D53" s="60">
        <v>723061.2</v>
      </c>
      <c r="E53" s="60">
        <v>466861</v>
      </c>
      <c r="F53" s="60">
        <v>560244</v>
      </c>
      <c r="G53" s="60">
        <v>466861</v>
      </c>
      <c r="H53" s="60">
        <v>639701</v>
      </c>
      <c r="I53" s="60">
        <f>H53+48296</f>
        <v>687997</v>
      </c>
      <c r="J53" s="60">
        <v>295330</v>
      </c>
      <c r="K53" s="60">
        <v>295330</v>
      </c>
      <c r="L53" s="60">
        <v>295330</v>
      </c>
      <c r="M53" s="38">
        <f t="shared" si="1"/>
        <v>42.926059270607283</v>
      </c>
      <c r="N53" s="38"/>
      <c r="O53" s="60">
        <v>295330</v>
      </c>
      <c r="P53" s="60">
        <v>503712</v>
      </c>
      <c r="Q53" s="60">
        <v>542778</v>
      </c>
      <c r="R53" s="60">
        <f>24554+221544+49232</f>
        <v>295330</v>
      </c>
      <c r="S53" s="60">
        <v>665667</v>
      </c>
      <c r="T53" s="60">
        <v>665667</v>
      </c>
      <c r="U53" s="60">
        <v>295330</v>
      </c>
      <c r="V53" s="124">
        <f t="shared" si="3"/>
        <v>295330</v>
      </c>
      <c r="W53" s="124">
        <f t="shared" si="4"/>
        <v>295330</v>
      </c>
      <c r="X53" s="123">
        <f t="shared" si="5"/>
        <v>225.39769071885689</v>
      </c>
      <c r="Y53" s="38"/>
      <c r="Z53" s="140">
        <f t="shared" si="6"/>
        <v>0.44366026857272478</v>
      </c>
      <c r="AA53" s="172">
        <f t="shared" si="25"/>
        <v>295330</v>
      </c>
      <c r="AB53" s="60">
        <v>45747</v>
      </c>
      <c r="AC53" s="217">
        <v>45747</v>
      </c>
      <c r="AD53" s="60"/>
      <c r="AE53" s="122">
        <f t="shared" si="7"/>
        <v>0</v>
      </c>
      <c r="AF53" s="60"/>
      <c r="AG53" s="60">
        <v>45747</v>
      </c>
      <c r="AH53" s="60">
        <f t="shared" si="26"/>
        <v>54896.399999999994</v>
      </c>
      <c r="AI53" s="60">
        <f t="shared" si="9"/>
        <v>55994.327999999994</v>
      </c>
      <c r="AJ53" s="60"/>
      <c r="AK53" s="60">
        <f t="shared" si="24"/>
        <v>55994.327999999994</v>
      </c>
      <c r="AL53" s="60"/>
      <c r="AM53" s="60">
        <v>45747</v>
      </c>
      <c r="AN53" s="217"/>
      <c r="AO53" s="217"/>
      <c r="AP53" s="217"/>
      <c r="AQ53" s="60"/>
      <c r="AR53" s="124">
        <f t="shared" si="10"/>
        <v>0</v>
      </c>
      <c r="AS53" s="425"/>
      <c r="AT53" s="60"/>
      <c r="AU53" s="60"/>
      <c r="AV53" s="60"/>
      <c r="AW53" s="426"/>
      <c r="AX53" s="217">
        <f t="shared" si="28"/>
        <v>0</v>
      </c>
      <c r="AY53" s="124">
        <f t="shared" si="27"/>
        <v>0</v>
      </c>
      <c r="AZ53" s="124">
        <f t="shared" si="15"/>
        <v>0</v>
      </c>
      <c r="BA53" s="124">
        <v>0</v>
      </c>
      <c r="BB53" s="60"/>
      <c r="BC53" s="60"/>
      <c r="BD53" s="60"/>
      <c r="BE53" s="60"/>
      <c r="BF53" s="60"/>
      <c r="BG53" s="329">
        <f t="shared" si="29"/>
        <v>0</v>
      </c>
      <c r="BH53" s="217"/>
      <c r="BI53" s="60"/>
      <c r="BJ53" s="60"/>
      <c r="BK53" s="60"/>
      <c r="BL53" s="60"/>
      <c r="BM53" s="432"/>
      <c r="BN53" s="432"/>
      <c r="BO53" s="60"/>
      <c r="BP53" s="60"/>
      <c r="BQ53" s="217"/>
      <c r="BR53" s="60"/>
      <c r="BS53" s="217"/>
      <c r="BT53" s="217"/>
      <c r="BU53" s="868"/>
      <c r="BV53" s="873"/>
      <c r="BW53" s="754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</row>
    <row r="54" spans="1:90" s="39" customFormat="1" x14ac:dyDescent="0.25">
      <c r="A54" s="59" t="s">
        <v>41</v>
      </c>
      <c r="B54" s="59" t="s">
        <v>150</v>
      </c>
      <c r="C54" s="60">
        <v>0</v>
      </c>
      <c r="D54" s="60">
        <v>0</v>
      </c>
      <c r="E54" s="60">
        <v>0</v>
      </c>
      <c r="F54" s="60">
        <f>91796+31330</f>
        <v>123126</v>
      </c>
      <c r="G54" s="60">
        <v>0</v>
      </c>
      <c r="H54" s="60">
        <v>91796</v>
      </c>
      <c r="I54" s="60">
        <f>H54</f>
        <v>91796</v>
      </c>
      <c r="J54" s="60">
        <v>0</v>
      </c>
      <c r="K54" s="60">
        <v>0</v>
      </c>
      <c r="L54" s="60">
        <f t="shared" si="21"/>
        <v>0</v>
      </c>
      <c r="M54" s="38">
        <f t="shared" si="1"/>
        <v>0</v>
      </c>
      <c r="N54" s="38"/>
      <c r="O54" s="60"/>
      <c r="P54" s="60">
        <v>265050</v>
      </c>
      <c r="Q54" s="60">
        <v>299631</v>
      </c>
      <c r="R54" s="60">
        <v>0</v>
      </c>
      <c r="S54" s="60">
        <v>315458</v>
      </c>
      <c r="T54" s="60">
        <v>315458</v>
      </c>
      <c r="U54" s="60"/>
      <c r="V54" s="124">
        <f t="shared" si="3"/>
        <v>0</v>
      </c>
      <c r="W54" s="124">
        <f t="shared" si="4"/>
        <v>0</v>
      </c>
      <c r="X54" s="123"/>
      <c r="Y54" s="38"/>
      <c r="Z54" s="140">
        <f t="shared" si="6"/>
        <v>0</v>
      </c>
      <c r="AA54" s="172">
        <f t="shared" si="25"/>
        <v>0</v>
      </c>
      <c r="AB54" s="60">
        <v>16210</v>
      </c>
      <c r="AC54" s="217">
        <v>16210</v>
      </c>
      <c r="AD54" s="60"/>
      <c r="AE54" s="122"/>
      <c r="AF54" s="60"/>
      <c r="AG54" s="60">
        <v>16210</v>
      </c>
      <c r="AH54" s="60">
        <f t="shared" si="26"/>
        <v>19452</v>
      </c>
      <c r="AI54" s="60">
        <f t="shared" si="9"/>
        <v>19841.04</v>
      </c>
      <c r="AJ54" s="60"/>
      <c r="AK54" s="60">
        <f t="shared" si="24"/>
        <v>19841.04</v>
      </c>
      <c r="AL54" s="60"/>
      <c r="AM54" s="60">
        <v>16210</v>
      </c>
      <c r="AN54" s="217"/>
      <c r="AO54" s="217"/>
      <c r="AP54" s="217"/>
      <c r="AQ54" s="60"/>
      <c r="AR54" s="124">
        <f t="shared" si="10"/>
        <v>0</v>
      </c>
      <c r="AS54" s="425"/>
      <c r="AT54" s="60"/>
      <c r="AU54" s="60"/>
      <c r="AV54" s="60"/>
      <c r="AW54" s="426"/>
      <c r="AX54" s="217">
        <f t="shared" si="28"/>
        <v>0</v>
      </c>
      <c r="AY54" s="124">
        <f t="shared" si="27"/>
        <v>0</v>
      </c>
      <c r="AZ54" s="124">
        <f t="shared" si="15"/>
        <v>0</v>
      </c>
      <c r="BA54" s="124">
        <v>0</v>
      </c>
      <c r="BB54" s="60"/>
      <c r="BC54" s="60"/>
      <c r="BD54" s="60"/>
      <c r="BE54" s="60"/>
      <c r="BF54" s="60"/>
      <c r="BG54" s="329">
        <f t="shared" si="29"/>
        <v>0</v>
      </c>
      <c r="BH54" s="217"/>
      <c r="BI54" s="60"/>
      <c r="BJ54" s="60"/>
      <c r="BK54" s="60"/>
      <c r="BL54" s="60"/>
      <c r="BM54" s="60"/>
      <c r="BN54" s="60"/>
      <c r="BO54" s="60"/>
      <c r="BP54" s="60"/>
      <c r="BQ54" s="217"/>
      <c r="BR54" s="60"/>
      <c r="BS54" s="217"/>
      <c r="BT54" s="217"/>
      <c r="BU54" s="868"/>
      <c r="BV54" s="873"/>
      <c r="BW54" s="7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</row>
    <row r="55" spans="1:90" s="39" customFormat="1" x14ac:dyDescent="0.25">
      <c r="A55" s="59" t="s">
        <v>42</v>
      </c>
      <c r="B55" s="59" t="s">
        <v>151</v>
      </c>
      <c r="C55" s="60">
        <v>496405</v>
      </c>
      <c r="D55" s="60">
        <v>378238.8</v>
      </c>
      <c r="E55" s="60">
        <v>533561</v>
      </c>
      <c r="F55" s="60">
        <v>337789</v>
      </c>
      <c r="G55" s="60">
        <v>533561</v>
      </c>
      <c r="H55" s="60">
        <v>418372</v>
      </c>
      <c r="I55" s="60">
        <f>H55+22560</f>
        <v>440932</v>
      </c>
      <c r="J55" s="60">
        <v>318187</v>
      </c>
      <c r="K55" s="60">
        <v>318187</v>
      </c>
      <c r="L55" s="60">
        <v>318187</v>
      </c>
      <c r="M55" s="38">
        <f t="shared" si="1"/>
        <v>72.162374243647548</v>
      </c>
      <c r="N55" s="38"/>
      <c r="O55" s="60">
        <v>318187</v>
      </c>
      <c r="P55" s="60">
        <v>286939</v>
      </c>
      <c r="Q55" s="60">
        <v>304279</v>
      </c>
      <c r="R55" s="60">
        <f>28062+237375+52750</f>
        <v>318187</v>
      </c>
      <c r="S55" s="60">
        <v>392455</v>
      </c>
      <c r="T55" s="60">
        <v>392455</v>
      </c>
      <c r="U55" s="60">
        <v>318187</v>
      </c>
      <c r="V55" s="124">
        <f t="shared" si="3"/>
        <v>318187</v>
      </c>
      <c r="W55" s="124">
        <f t="shared" si="4"/>
        <v>318187</v>
      </c>
      <c r="X55" s="123">
        <f t="shared" si="5"/>
        <v>123.34099130385592</v>
      </c>
      <c r="Y55" s="38"/>
      <c r="Z55" s="140">
        <f t="shared" si="6"/>
        <v>0.81076046935317425</v>
      </c>
      <c r="AA55" s="172">
        <f t="shared" si="25"/>
        <v>318187</v>
      </c>
      <c r="AB55" s="60">
        <v>205711</v>
      </c>
      <c r="AC55" s="217">
        <v>215501</v>
      </c>
      <c r="AD55" s="60"/>
      <c r="AE55" s="122">
        <f t="shared" si="7"/>
        <v>0</v>
      </c>
      <c r="AF55" s="60"/>
      <c r="AG55" s="60">
        <v>215655</v>
      </c>
      <c r="AH55" s="60">
        <f t="shared" si="26"/>
        <v>258786</v>
      </c>
      <c r="AI55" s="60">
        <f t="shared" si="9"/>
        <v>263961.72000000003</v>
      </c>
      <c r="AJ55" s="60"/>
      <c r="AK55" s="60">
        <f t="shared" si="24"/>
        <v>263961.72000000003</v>
      </c>
      <c r="AL55" s="60"/>
      <c r="AM55" s="60">
        <v>219775</v>
      </c>
      <c r="AN55" s="217"/>
      <c r="AO55" s="217"/>
      <c r="AP55" s="217"/>
      <c r="AQ55" s="60"/>
      <c r="AR55" s="124">
        <f t="shared" si="10"/>
        <v>0</v>
      </c>
      <c r="AS55" s="425"/>
      <c r="AT55" s="60"/>
      <c r="AU55" s="60"/>
      <c r="AV55" s="60"/>
      <c r="AW55" s="426"/>
      <c r="AX55" s="217">
        <f t="shared" si="28"/>
        <v>0</v>
      </c>
      <c r="AY55" s="124">
        <f t="shared" si="27"/>
        <v>0</v>
      </c>
      <c r="AZ55" s="124">
        <f t="shared" si="15"/>
        <v>0</v>
      </c>
      <c r="BA55" s="124">
        <v>0</v>
      </c>
      <c r="BB55" s="511"/>
      <c r="BC55" s="511"/>
      <c r="BD55" s="511"/>
      <c r="BE55" s="511"/>
      <c r="BF55" s="511"/>
      <c r="BG55" s="329">
        <f t="shared" si="29"/>
        <v>0</v>
      </c>
      <c r="BH55" s="567"/>
      <c r="BI55" s="511"/>
      <c r="BJ55" s="60"/>
      <c r="BK55" s="60"/>
      <c r="BL55" s="511"/>
      <c r="BM55" s="60"/>
      <c r="BN55" s="60"/>
      <c r="BO55" s="60"/>
      <c r="BP55" s="60">
        <f t="shared" si="30"/>
        <v>0</v>
      </c>
      <c r="BQ55" s="217"/>
      <c r="BR55" s="60"/>
      <c r="BS55" s="217"/>
      <c r="BT55" s="217"/>
      <c r="BU55" s="868"/>
      <c r="BV55" s="873"/>
      <c r="BW55" s="754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</row>
    <row r="56" spans="1:90" x14ac:dyDescent="0.25">
      <c r="A56" s="54" t="s">
        <v>139</v>
      </c>
      <c r="B56" s="55" t="s">
        <v>230</v>
      </c>
      <c r="C56" s="55">
        <v>715000</v>
      </c>
      <c r="D56" s="55">
        <v>482758</v>
      </c>
      <c r="E56" s="55">
        <v>715000</v>
      </c>
      <c r="F56" s="55">
        <v>192681</v>
      </c>
      <c r="G56" s="55">
        <v>195000</v>
      </c>
      <c r="H56" s="55">
        <v>192681</v>
      </c>
      <c r="I56" s="55">
        <f t="shared" si="0"/>
        <v>210197.45454545453</v>
      </c>
      <c r="J56" s="55">
        <v>715000</v>
      </c>
      <c r="K56" s="55">
        <v>300000</v>
      </c>
      <c r="L56" s="55">
        <v>300000</v>
      </c>
      <c r="M56" s="1">
        <f t="shared" si="1"/>
        <v>142.72294621680396</v>
      </c>
      <c r="O56" s="55">
        <v>300000</v>
      </c>
      <c r="P56" s="55">
        <v>104977</v>
      </c>
      <c r="Q56" s="55">
        <v>121767</v>
      </c>
      <c r="R56" s="55">
        <f>300000+750000</f>
        <v>1050000</v>
      </c>
      <c r="S56" s="55">
        <v>200000</v>
      </c>
      <c r="T56" s="55">
        <v>129185</v>
      </c>
      <c r="U56" s="55">
        <f>R56</f>
        <v>1050000</v>
      </c>
      <c r="V56" s="69">
        <f t="shared" si="3"/>
        <v>1050000</v>
      </c>
      <c r="W56" s="69">
        <f t="shared" si="4"/>
        <v>1050000</v>
      </c>
      <c r="X56" s="122">
        <f t="shared" si="5"/>
        <v>12.303333333333333</v>
      </c>
      <c r="Y56" t="s">
        <v>369</v>
      </c>
      <c r="Z56" s="140">
        <f t="shared" si="6"/>
        <v>8.1278786236792193</v>
      </c>
      <c r="AA56" s="171">
        <f>W56</f>
        <v>1050000</v>
      </c>
      <c r="AB56" s="55">
        <v>119943</v>
      </c>
      <c r="AC56" s="223">
        <v>247823</v>
      </c>
      <c r="AD56" s="55">
        <v>250028</v>
      </c>
      <c r="AE56" s="122">
        <f t="shared" si="7"/>
        <v>23.812190476190477</v>
      </c>
      <c r="AF56" s="55">
        <v>300000</v>
      </c>
      <c r="AG56" s="55">
        <v>278152</v>
      </c>
      <c r="AH56" s="55">
        <f>AG56/10*12</f>
        <v>333782.40000000002</v>
      </c>
      <c r="AI56" s="230">
        <f>AH56</f>
        <v>333782.40000000002</v>
      </c>
      <c r="AK56" s="230">
        <f t="shared" si="24"/>
        <v>333782.40000000002</v>
      </c>
      <c r="AM56" s="55">
        <v>284609</v>
      </c>
      <c r="AN56" s="223"/>
      <c r="AO56" s="223"/>
      <c r="AP56" s="222">
        <v>898747</v>
      </c>
      <c r="AQ56" s="65">
        <v>796806</v>
      </c>
      <c r="AR56" s="69">
        <f t="shared" si="10"/>
        <v>101941</v>
      </c>
      <c r="AS56" s="415">
        <f t="shared" si="11"/>
        <v>88.657430845388078</v>
      </c>
      <c r="AT56" s="65">
        <v>796806</v>
      </c>
      <c r="AU56" s="55">
        <f t="shared" si="12"/>
        <v>101941</v>
      </c>
      <c r="AV56" s="55">
        <f t="shared" si="13"/>
        <v>11.342569154611921</v>
      </c>
      <c r="AW56" s="430">
        <v>333782</v>
      </c>
      <c r="AX56" s="430">
        <v>333782</v>
      </c>
      <c r="AY56" s="69">
        <f t="shared" si="27"/>
        <v>333782</v>
      </c>
      <c r="AZ56" s="69">
        <f t="shared" si="15"/>
        <v>333782</v>
      </c>
      <c r="BA56" s="69">
        <f t="shared" si="15"/>
        <v>333782</v>
      </c>
      <c r="BB56" s="501">
        <v>333782</v>
      </c>
      <c r="BC56" s="501">
        <v>583782</v>
      </c>
      <c r="BD56" s="501">
        <v>349662</v>
      </c>
      <c r="BE56" s="501">
        <v>455646</v>
      </c>
      <c r="BF56" s="221">
        <v>601954</v>
      </c>
      <c r="BG56" s="517">
        <f t="shared" si="16"/>
        <v>722344.8</v>
      </c>
      <c r="BH56" s="222">
        <f>BB56*1.08</f>
        <v>360484.56</v>
      </c>
      <c r="BI56" s="65">
        <v>460485</v>
      </c>
      <c r="BJ56" s="65">
        <v>263535</v>
      </c>
      <c r="BK56" s="65">
        <v>564654</v>
      </c>
      <c r="BL56" s="258">
        <f t="shared" si="19"/>
        <v>677584.8</v>
      </c>
      <c r="BM56" s="65">
        <v>500000</v>
      </c>
      <c r="BN56" s="65">
        <v>500000</v>
      </c>
      <c r="BO56" s="55">
        <v>447720</v>
      </c>
      <c r="BP56" s="55">
        <f>BO56/10*12</f>
        <v>537264</v>
      </c>
      <c r="BQ56" s="223">
        <f>BP56*1.1</f>
        <v>590990.4</v>
      </c>
      <c r="BR56" s="65">
        <v>600000</v>
      </c>
      <c r="BS56" s="222">
        <v>600000</v>
      </c>
      <c r="BT56" s="222">
        <v>600000</v>
      </c>
      <c r="BU56" s="866">
        <v>1000000</v>
      </c>
      <c r="BV56" s="347">
        <v>1000000</v>
      </c>
    </row>
    <row r="57" spans="1:90" x14ac:dyDescent="0.25">
      <c r="A57" s="54" t="s">
        <v>43</v>
      </c>
      <c r="B57" s="55" t="s">
        <v>152</v>
      </c>
      <c r="C57" s="55">
        <v>6824428</v>
      </c>
      <c r="D57" s="55">
        <v>5787216</v>
      </c>
      <c r="E57" s="55">
        <v>6773903</v>
      </c>
      <c r="F57" s="55">
        <v>7663847</v>
      </c>
      <c r="G57" s="55">
        <v>9224529</v>
      </c>
      <c r="H57" s="55">
        <v>9012272</v>
      </c>
      <c r="I57" s="55">
        <f t="shared" si="0"/>
        <v>9831569.4545454551</v>
      </c>
      <c r="J57" s="55">
        <v>6773903</v>
      </c>
      <c r="K57" s="55">
        <v>10000000</v>
      </c>
      <c r="L57" s="55">
        <v>10000000</v>
      </c>
      <c r="M57" s="1">
        <f t="shared" si="1"/>
        <v>101.71316030704207</v>
      </c>
      <c r="O57" s="55">
        <v>8900000</v>
      </c>
      <c r="P57" s="55">
        <v>6168133</v>
      </c>
      <c r="Q57" s="55">
        <v>6693701</v>
      </c>
      <c r="R57" s="55">
        <v>10000000</v>
      </c>
      <c r="S57" s="55">
        <v>9850000</v>
      </c>
      <c r="T57" s="55">
        <v>8728005</v>
      </c>
      <c r="U57" s="55">
        <f t="shared" ref="U57:U60" si="33">R57</f>
        <v>10000000</v>
      </c>
      <c r="V57" s="69">
        <f t="shared" si="3"/>
        <v>10000000</v>
      </c>
      <c r="W57" s="69">
        <f t="shared" si="4"/>
        <v>10000000</v>
      </c>
      <c r="X57" s="122">
        <f t="shared" si="5"/>
        <v>87.280050000000003</v>
      </c>
      <c r="Z57" s="140">
        <f t="shared" si="6"/>
        <v>1.1457371988214946</v>
      </c>
      <c r="AA57" s="171">
        <f t="shared" ref="AA57:AA100" si="34">W57</f>
        <v>10000000</v>
      </c>
      <c r="AB57" s="55">
        <v>6140994</v>
      </c>
      <c r="AC57" s="223">
        <v>7212805</v>
      </c>
      <c r="AD57" s="55">
        <v>8294817</v>
      </c>
      <c r="AE57" s="122">
        <f t="shared" si="7"/>
        <v>82.948170000000005</v>
      </c>
      <c r="AF57" s="55">
        <v>11261000</v>
      </c>
      <c r="AG57" s="55">
        <v>9602251</v>
      </c>
      <c r="AH57" s="55">
        <f t="shared" ref="AH57:AH100" si="35">AG57/10*12</f>
        <v>11522701.199999999</v>
      </c>
      <c r="AI57" s="230">
        <f t="shared" ref="AI57:AI77" si="36">AH57</f>
        <v>11522701.199999999</v>
      </c>
      <c r="AK57" s="230">
        <f>AI57-1000000</f>
        <v>10522701.199999999</v>
      </c>
      <c r="AM57" s="55">
        <v>10965395</v>
      </c>
      <c r="AN57" s="223"/>
      <c r="AO57" s="223"/>
      <c r="AP57" s="222">
        <v>8272701</v>
      </c>
      <c r="AQ57" s="65">
        <v>7302652</v>
      </c>
      <c r="AR57" s="69">
        <f t="shared" si="10"/>
        <v>970049</v>
      </c>
      <c r="AS57" s="415">
        <f t="shared" si="11"/>
        <v>88.274095727622694</v>
      </c>
      <c r="AT57" s="65">
        <v>7764420</v>
      </c>
      <c r="AU57" s="55">
        <f t="shared" si="12"/>
        <v>508281</v>
      </c>
      <c r="AV57" s="55">
        <f t="shared" si="13"/>
        <v>6.1440755564597342</v>
      </c>
      <c r="AW57" s="430">
        <v>10522701</v>
      </c>
      <c r="AX57" s="430">
        <v>10522701</v>
      </c>
      <c r="AY57" s="69">
        <f t="shared" si="27"/>
        <v>10522701</v>
      </c>
      <c r="AZ57" s="69">
        <f t="shared" si="15"/>
        <v>10522701</v>
      </c>
      <c r="BA57" s="69">
        <f t="shared" si="15"/>
        <v>10522701</v>
      </c>
      <c r="BB57" s="501">
        <v>10522701</v>
      </c>
      <c r="BC57" s="501">
        <v>5348754</v>
      </c>
      <c r="BD57" s="501">
        <v>3434808</v>
      </c>
      <c r="BE57" s="501">
        <v>4599670</v>
      </c>
      <c r="BF57" s="221">
        <v>5454774</v>
      </c>
      <c r="BG57" s="517">
        <f t="shared" si="16"/>
        <v>6545728.8000000007</v>
      </c>
      <c r="BH57" s="222">
        <f>BB57*1.08+200000</f>
        <v>11564517.08</v>
      </c>
      <c r="BI57" s="65">
        <v>10564517</v>
      </c>
      <c r="BJ57" s="65">
        <v>3948825</v>
      </c>
      <c r="BK57" s="65">
        <v>5467295</v>
      </c>
      <c r="BL57" s="258">
        <f t="shared" si="19"/>
        <v>6560754</v>
      </c>
      <c r="BM57" s="65">
        <v>6500000</v>
      </c>
      <c r="BN57" s="65">
        <v>6500000</v>
      </c>
      <c r="BO57" s="55">
        <v>5572962</v>
      </c>
      <c r="BP57" s="55">
        <f t="shared" ref="BP57:BP98" si="37">BO57/10*12</f>
        <v>6687554.3999999994</v>
      </c>
      <c r="BQ57" s="223">
        <f t="shared" ref="BQ57:BQ81" si="38">BP57*1.1</f>
        <v>7356309.8399999999</v>
      </c>
      <c r="BR57" s="65">
        <v>6500000</v>
      </c>
      <c r="BS57" s="222">
        <v>6500000</v>
      </c>
      <c r="BT57" s="222">
        <f>6500000-266000</f>
        <v>6234000</v>
      </c>
      <c r="BU57" s="866">
        <v>12034000</v>
      </c>
      <c r="BV57" s="347">
        <v>15000000</v>
      </c>
      <c r="BW57" s="754" t="s">
        <v>795</v>
      </c>
    </row>
    <row r="58" spans="1:90" x14ac:dyDescent="0.25">
      <c r="A58" s="54" t="s">
        <v>243</v>
      </c>
      <c r="B58" s="55" t="s">
        <v>244</v>
      </c>
      <c r="C58" s="55"/>
      <c r="D58" s="55"/>
      <c r="E58" s="55"/>
      <c r="F58" s="55"/>
      <c r="G58" s="55"/>
      <c r="H58" s="55"/>
      <c r="I58" s="55">
        <f t="shared" si="0"/>
        <v>0</v>
      </c>
      <c r="J58" s="55"/>
      <c r="K58" s="55"/>
      <c r="L58" s="55"/>
      <c r="M58" s="1">
        <f t="shared" si="1"/>
        <v>0</v>
      </c>
      <c r="O58" s="55"/>
      <c r="P58" s="55"/>
      <c r="Q58" s="55"/>
      <c r="R58" s="55"/>
      <c r="S58" s="55"/>
      <c r="T58" s="55"/>
      <c r="U58" s="55">
        <f t="shared" si="33"/>
        <v>0</v>
      </c>
      <c r="V58" s="69">
        <f t="shared" si="3"/>
        <v>0</v>
      </c>
      <c r="W58" s="69">
        <f t="shared" si="4"/>
        <v>0</v>
      </c>
      <c r="X58" s="122"/>
      <c r="Z58" s="140" t="e">
        <f t="shared" si="6"/>
        <v>#DIV/0!</v>
      </c>
      <c r="AA58" s="171">
        <f t="shared" si="34"/>
        <v>0</v>
      </c>
      <c r="AB58" s="55"/>
      <c r="AC58" s="223"/>
      <c r="AE58" s="122"/>
      <c r="AH58" s="55">
        <f t="shared" si="35"/>
        <v>0</v>
      </c>
      <c r="AI58" s="230">
        <f t="shared" si="36"/>
        <v>0</v>
      </c>
      <c r="AK58" s="230">
        <f>AI58</f>
        <v>0</v>
      </c>
      <c r="AN58" s="223"/>
      <c r="AO58" s="223"/>
      <c r="AP58" s="222"/>
      <c r="AR58" s="69">
        <f t="shared" si="10"/>
        <v>0</v>
      </c>
      <c r="AT58" s="65"/>
      <c r="AU58" s="55"/>
      <c r="AV58" s="55"/>
      <c r="AW58" s="430"/>
      <c r="AX58" s="430"/>
      <c r="AY58" s="69">
        <f t="shared" si="27"/>
        <v>0</v>
      </c>
      <c r="AZ58" s="69">
        <f t="shared" si="15"/>
        <v>0</v>
      </c>
      <c r="BA58" s="69">
        <f t="shared" si="15"/>
        <v>0</v>
      </c>
      <c r="BB58" s="501"/>
      <c r="BE58" s="501"/>
      <c r="BF58" s="221"/>
      <c r="BG58" s="517">
        <f t="shared" si="16"/>
        <v>0</v>
      </c>
      <c r="BH58" s="222">
        <f t="shared" ref="BH58:BH89" si="39">BB58*1.08</f>
        <v>0</v>
      </c>
      <c r="BI58" s="65">
        <v>0</v>
      </c>
      <c r="BJ58" s="65"/>
      <c r="BK58" s="65"/>
      <c r="BL58" s="258">
        <f t="shared" si="19"/>
        <v>0</v>
      </c>
      <c r="BM58" s="55"/>
      <c r="BN58" s="55"/>
      <c r="BO58" s="55"/>
      <c r="BP58" s="55">
        <f t="shared" si="37"/>
        <v>0</v>
      </c>
      <c r="BQ58" s="223">
        <f t="shared" si="38"/>
        <v>0</v>
      </c>
      <c r="BR58" s="65"/>
      <c r="BS58" s="222"/>
      <c r="BT58" s="222"/>
      <c r="BU58" s="866"/>
      <c r="BV58" s="347"/>
    </row>
    <row r="59" spans="1:90" x14ac:dyDescent="0.25">
      <c r="A59" s="54" t="s">
        <v>44</v>
      </c>
      <c r="B59" s="55" t="s">
        <v>153</v>
      </c>
      <c r="C59" s="55">
        <v>329000</v>
      </c>
      <c r="D59" s="55">
        <v>192694</v>
      </c>
      <c r="E59" s="55">
        <v>329000</v>
      </c>
      <c r="F59" s="55">
        <v>2387751</v>
      </c>
      <c r="G59" s="55">
        <v>4171366</v>
      </c>
      <c r="H59" s="55">
        <v>2725651</v>
      </c>
      <c r="I59" s="55">
        <f t="shared" si="0"/>
        <v>2973437.4545454546</v>
      </c>
      <c r="J59" s="55">
        <v>329000</v>
      </c>
      <c r="K59" s="55">
        <v>3000000</v>
      </c>
      <c r="L59" s="55">
        <v>3000000</v>
      </c>
      <c r="M59" s="1">
        <f t="shared" si="1"/>
        <v>100.89332786919529</v>
      </c>
      <c r="O59" s="55">
        <v>2900000</v>
      </c>
      <c r="P59" s="55">
        <v>352544</v>
      </c>
      <c r="Q59" s="55">
        <v>423896</v>
      </c>
      <c r="R59" s="55">
        <v>3000000</v>
      </c>
      <c r="S59" s="55">
        <v>1300000</v>
      </c>
      <c r="T59" s="55">
        <v>843633</v>
      </c>
      <c r="U59" s="55">
        <f t="shared" si="33"/>
        <v>3000000</v>
      </c>
      <c r="V59" s="69">
        <f t="shared" si="3"/>
        <v>3000000</v>
      </c>
      <c r="W59" s="151">
        <v>1200000</v>
      </c>
      <c r="X59" s="122">
        <f t="shared" si="5"/>
        <v>28.121099999999998</v>
      </c>
      <c r="Z59" s="140">
        <f t="shared" si="6"/>
        <v>1.4224194643879506</v>
      </c>
      <c r="AA59" s="171">
        <f t="shared" si="34"/>
        <v>1200000</v>
      </c>
      <c r="AB59" s="55">
        <v>682160</v>
      </c>
      <c r="AC59" s="223">
        <v>771681</v>
      </c>
      <c r="AD59" s="55">
        <v>811739</v>
      </c>
      <c r="AE59" s="122">
        <f t="shared" si="7"/>
        <v>67.64491666666666</v>
      </c>
      <c r="AF59" s="55">
        <v>1200000</v>
      </c>
      <c r="AG59" s="55">
        <v>851795</v>
      </c>
      <c r="AH59" s="55">
        <f t="shared" si="35"/>
        <v>1022154</v>
      </c>
      <c r="AI59" s="230">
        <f t="shared" si="36"/>
        <v>1022154</v>
      </c>
      <c r="AK59" s="230">
        <f>AI59</f>
        <v>1022154</v>
      </c>
      <c r="AM59" s="55">
        <v>868250</v>
      </c>
      <c r="AN59" s="223"/>
      <c r="AO59" s="223"/>
      <c r="AP59" s="222">
        <v>752154</v>
      </c>
      <c r="AQ59" s="65">
        <v>556192</v>
      </c>
      <c r="AR59" s="69">
        <f t="shared" si="10"/>
        <v>195962</v>
      </c>
      <c r="AS59" s="415">
        <f t="shared" si="11"/>
        <v>73.946558816412605</v>
      </c>
      <c r="AT59" s="65">
        <v>629748</v>
      </c>
      <c r="AU59" s="55">
        <f t="shared" si="12"/>
        <v>122406</v>
      </c>
      <c r="AV59" s="55">
        <f t="shared" si="13"/>
        <v>16.274060897103517</v>
      </c>
      <c r="AW59" s="430">
        <v>1022154</v>
      </c>
      <c r="AX59" s="430">
        <v>1022154</v>
      </c>
      <c r="AY59" s="69">
        <f t="shared" si="27"/>
        <v>1022154</v>
      </c>
      <c r="AZ59" s="69">
        <f t="shared" si="15"/>
        <v>1022154</v>
      </c>
      <c r="BA59" s="69">
        <f t="shared" si="15"/>
        <v>1022154</v>
      </c>
      <c r="BB59" s="501">
        <v>1022154</v>
      </c>
      <c r="BC59" s="501">
        <v>1022154</v>
      </c>
      <c r="BD59" s="501">
        <v>241707</v>
      </c>
      <c r="BE59" s="501">
        <v>244669</v>
      </c>
      <c r="BF59" s="221">
        <v>346509</v>
      </c>
      <c r="BG59" s="517">
        <f t="shared" si="16"/>
        <v>415810.80000000005</v>
      </c>
      <c r="BH59" s="222">
        <f t="shared" si="39"/>
        <v>1103926.32</v>
      </c>
      <c r="BI59" s="65">
        <v>603926</v>
      </c>
      <c r="BJ59" s="65">
        <v>43962</v>
      </c>
      <c r="BK59" s="65">
        <v>448002</v>
      </c>
      <c r="BL59" s="258">
        <f t="shared" si="19"/>
        <v>537602.39999999991</v>
      </c>
      <c r="BM59" s="55"/>
      <c r="BN59" s="55">
        <v>0</v>
      </c>
      <c r="BO59" s="55">
        <v>4754195</v>
      </c>
      <c r="BP59" s="55">
        <f t="shared" si="37"/>
        <v>5705034</v>
      </c>
      <c r="BQ59" s="223">
        <f t="shared" si="38"/>
        <v>6275537.4000000004</v>
      </c>
      <c r="BR59" s="65">
        <v>6000000</v>
      </c>
      <c r="BS59" s="222">
        <v>6000000</v>
      </c>
      <c r="BT59" s="222">
        <v>6000000</v>
      </c>
      <c r="BU59" s="866">
        <v>7000000</v>
      </c>
      <c r="BV59" s="347">
        <v>7000000</v>
      </c>
    </row>
    <row r="60" spans="1:90" x14ac:dyDescent="0.25">
      <c r="A60" s="54" t="s">
        <v>45</v>
      </c>
      <c r="B60" s="55" t="s">
        <v>154</v>
      </c>
      <c r="C60" s="55">
        <v>413445</v>
      </c>
      <c r="D60" s="55">
        <v>295182</v>
      </c>
      <c r="E60" s="55">
        <v>413445</v>
      </c>
      <c r="F60" s="55">
        <v>423962</v>
      </c>
      <c r="G60" s="55">
        <v>636508</v>
      </c>
      <c r="H60" s="55">
        <v>438424</v>
      </c>
      <c r="I60" s="55">
        <f t="shared" si="0"/>
        <v>478280.72727272729</v>
      </c>
      <c r="J60" s="55">
        <v>413445</v>
      </c>
      <c r="K60" s="55">
        <v>500000</v>
      </c>
      <c r="L60" s="55">
        <v>500000</v>
      </c>
      <c r="M60" s="1">
        <f t="shared" si="1"/>
        <v>104.54111392928611</v>
      </c>
      <c r="O60" s="55">
        <v>750000</v>
      </c>
      <c r="P60" s="55">
        <v>578093</v>
      </c>
      <c r="Q60" s="55">
        <v>616894</v>
      </c>
      <c r="R60" s="55">
        <v>500000</v>
      </c>
      <c r="S60" s="55">
        <v>750000</v>
      </c>
      <c r="T60" s="55">
        <v>720949</v>
      </c>
      <c r="U60" s="55">
        <f t="shared" si="33"/>
        <v>500000</v>
      </c>
      <c r="V60" s="69">
        <f t="shared" si="3"/>
        <v>500000</v>
      </c>
      <c r="W60" s="69">
        <f t="shared" si="4"/>
        <v>500000</v>
      </c>
      <c r="X60" s="122">
        <f t="shared" si="5"/>
        <v>144.18979999999999</v>
      </c>
      <c r="Z60" s="140">
        <f t="shared" si="6"/>
        <v>0.69353033293617161</v>
      </c>
      <c r="AA60" s="171">
        <f t="shared" si="34"/>
        <v>500000</v>
      </c>
      <c r="AB60" s="55">
        <v>137101</v>
      </c>
      <c r="AC60" s="223">
        <v>206381</v>
      </c>
      <c r="AD60" s="55">
        <v>251341</v>
      </c>
      <c r="AE60" s="122">
        <f t="shared" si="7"/>
        <v>50.268199999999993</v>
      </c>
      <c r="AF60" s="55">
        <v>500000</v>
      </c>
      <c r="AG60" s="55">
        <v>291622</v>
      </c>
      <c r="AH60" s="55">
        <f t="shared" si="35"/>
        <v>349946.4</v>
      </c>
      <c r="AI60" s="230">
        <f t="shared" si="36"/>
        <v>349946.4</v>
      </c>
      <c r="AK60" s="230">
        <f>AI60</f>
        <v>349946.4</v>
      </c>
      <c r="AM60" s="55">
        <v>351162</v>
      </c>
      <c r="AN60" s="223"/>
      <c r="AO60" s="223"/>
      <c r="AP60" s="222">
        <v>727158</v>
      </c>
      <c r="AQ60" s="65">
        <v>561615</v>
      </c>
      <c r="AR60" s="69">
        <f t="shared" si="10"/>
        <v>165543</v>
      </c>
      <c r="AS60" s="415">
        <f t="shared" si="11"/>
        <v>77.234246202338426</v>
      </c>
      <c r="AT60" s="65">
        <v>561615</v>
      </c>
      <c r="AU60" s="55">
        <f t="shared" si="12"/>
        <v>165543</v>
      </c>
      <c r="AV60" s="55">
        <f t="shared" si="13"/>
        <v>22.765753797661581</v>
      </c>
      <c r="AW60" s="430">
        <v>349946</v>
      </c>
      <c r="AX60" s="430">
        <v>349946</v>
      </c>
      <c r="AY60" s="69">
        <f t="shared" si="27"/>
        <v>349946</v>
      </c>
      <c r="AZ60" s="69">
        <f t="shared" si="15"/>
        <v>349946</v>
      </c>
      <c r="BA60" s="69">
        <f t="shared" si="15"/>
        <v>349946</v>
      </c>
      <c r="BB60" s="501">
        <v>349946</v>
      </c>
      <c r="BC60" s="501">
        <v>499946</v>
      </c>
      <c r="BD60" s="501">
        <v>371037</v>
      </c>
      <c r="BE60" s="501">
        <v>590188</v>
      </c>
      <c r="BF60" s="221">
        <v>630506</v>
      </c>
      <c r="BG60" s="517">
        <f t="shared" si="16"/>
        <v>756607.2</v>
      </c>
      <c r="BH60" s="222">
        <f t="shared" si="39"/>
        <v>377941.68000000005</v>
      </c>
      <c r="BI60" s="65">
        <v>877942</v>
      </c>
      <c r="BJ60" s="65">
        <v>401965</v>
      </c>
      <c r="BK60" s="65">
        <v>887103</v>
      </c>
      <c r="BL60" s="258">
        <f t="shared" si="19"/>
        <v>1064523.6000000001</v>
      </c>
      <c r="BM60" s="65">
        <v>1500000</v>
      </c>
      <c r="BN60" s="65">
        <v>1500000</v>
      </c>
      <c r="BO60" s="55">
        <v>1859674</v>
      </c>
      <c r="BP60" s="55">
        <f t="shared" si="37"/>
        <v>2231608.7999999998</v>
      </c>
      <c r="BQ60" s="223">
        <f t="shared" si="38"/>
        <v>2454769.6800000002</v>
      </c>
      <c r="BR60" s="65">
        <v>2500000</v>
      </c>
      <c r="BS60" s="222">
        <v>2500000</v>
      </c>
      <c r="BT60" s="222">
        <v>2500000</v>
      </c>
      <c r="BU60" s="866">
        <v>2000000</v>
      </c>
      <c r="BV60" s="347">
        <v>2000000</v>
      </c>
    </row>
    <row r="61" spans="1:90" x14ac:dyDescent="0.25">
      <c r="A61" s="54" t="s">
        <v>700</v>
      </c>
      <c r="B61" s="448" t="s">
        <v>703</v>
      </c>
      <c r="C61" s="65">
        <v>10587358</v>
      </c>
      <c r="D61" s="65">
        <v>11447978</v>
      </c>
      <c r="E61" s="65">
        <v>12337358</v>
      </c>
      <c r="F61" s="65">
        <v>10591743</v>
      </c>
      <c r="G61" s="65">
        <v>18494945</v>
      </c>
      <c r="H61" s="65">
        <v>10754535</v>
      </c>
      <c r="I61" s="65">
        <f t="shared" si="0"/>
        <v>11732220</v>
      </c>
      <c r="J61" s="65">
        <v>12337358</v>
      </c>
      <c r="K61" s="65">
        <v>12000000</v>
      </c>
      <c r="L61" s="65">
        <v>12000000</v>
      </c>
      <c r="M61" s="14">
        <f t="shared" si="1"/>
        <v>102.28243248080926</v>
      </c>
      <c r="N61" s="14"/>
      <c r="O61" s="65">
        <v>14000000</v>
      </c>
      <c r="P61" s="65">
        <v>11348986</v>
      </c>
      <c r="Q61" s="65">
        <v>12635925</v>
      </c>
      <c r="R61" s="65">
        <v>12000000</v>
      </c>
      <c r="S61" s="65">
        <v>15500000</v>
      </c>
      <c r="T61" s="65">
        <v>14406749</v>
      </c>
      <c r="U61" s="65">
        <f>R61</f>
        <v>12000000</v>
      </c>
      <c r="V61" s="69">
        <f t="shared" si="3"/>
        <v>12000000</v>
      </c>
      <c r="W61" s="69">
        <f t="shared" si="4"/>
        <v>12000000</v>
      </c>
      <c r="X61" s="121">
        <f t="shared" si="5"/>
        <v>120.05624166666666</v>
      </c>
      <c r="Y61" s="14"/>
      <c r="Z61" s="226">
        <f t="shared" si="6"/>
        <v>0.83294294916917067</v>
      </c>
      <c r="AA61" s="227">
        <f t="shared" si="34"/>
        <v>12000000</v>
      </c>
      <c r="AB61" s="65">
        <v>8792266</v>
      </c>
      <c r="AC61" s="222">
        <v>10503225</v>
      </c>
      <c r="AD61" s="65">
        <v>11187733</v>
      </c>
      <c r="AE61" s="121">
        <f t="shared" si="7"/>
        <v>93.231108333333339</v>
      </c>
      <c r="AF61" s="65">
        <v>16272606</v>
      </c>
      <c r="AG61" s="65">
        <v>11790045</v>
      </c>
      <c r="AH61" s="55">
        <f t="shared" si="35"/>
        <v>14148054</v>
      </c>
      <c r="AI61" s="230">
        <f t="shared" si="36"/>
        <v>14148054</v>
      </c>
      <c r="AK61" s="230">
        <f>AI61-4000000</f>
        <v>10148054</v>
      </c>
      <c r="AL61" s="65"/>
      <c r="AM61" s="65">
        <v>12737467</v>
      </c>
      <c r="AN61" s="222"/>
      <c r="AO61" s="222"/>
      <c r="AP61" s="222">
        <v>16848054</v>
      </c>
      <c r="AQ61" s="65">
        <v>14814050</v>
      </c>
      <c r="AR61" s="69">
        <f t="shared" si="10"/>
        <v>2034004</v>
      </c>
      <c r="AS61" s="415">
        <f t="shared" si="11"/>
        <v>87.92736538000176</v>
      </c>
      <c r="AT61" s="65">
        <v>16116720</v>
      </c>
      <c r="AU61" s="55">
        <f t="shared" si="12"/>
        <v>731334</v>
      </c>
      <c r="AV61" s="55">
        <f t="shared" si="13"/>
        <v>4.3407624405762233</v>
      </c>
      <c r="AW61" s="430">
        <v>10148054</v>
      </c>
      <c r="AX61" s="430">
        <v>10148054</v>
      </c>
      <c r="AY61" s="69">
        <f t="shared" si="27"/>
        <v>10148054</v>
      </c>
      <c r="AZ61" s="69">
        <f t="shared" si="15"/>
        <v>10148054</v>
      </c>
      <c r="BA61" s="69">
        <f t="shared" si="15"/>
        <v>10148054</v>
      </c>
      <c r="BB61" s="501">
        <v>10148054</v>
      </c>
      <c r="BC61" s="501">
        <v>12817757</v>
      </c>
      <c r="BD61" s="501">
        <v>10759697</v>
      </c>
      <c r="BE61" s="501">
        <v>13215159</v>
      </c>
      <c r="BF61" s="221">
        <v>14241867</v>
      </c>
      <c r="BG61" s="517">
        <f t="shared" si="16"/>
        <v>17090240.399999999</v>
      </c>
      <c r="BH61" s="222">
        <f>BB61*1.08+1000000</f>
        <v>11959898.32</v>
      </c>
      <c r="BI61" s="65">
        <v>19959898</v>
      </c>
      <c r="BJ61" s="65">
        <v>12115923</v>
      </c>
      <c r="BK61" s="65">
        <v>21391378</v>
      </c>
      <c r="BL61" s="258">
        <f t="shared" si="19"/>
        <v>25669653.599999998</v>
      </c>
      <c r="BM61" s="65">
        <v>65000000</v>
      </c>
      <c r="BN61" s="65">
        <v>49500000</v>
      </c>
      <c r="BO61" s="55">
        <v>37353815</v>
      </c>
      <c r="BP61" s="55">
        <f t="shared" si="37"/>
        <v>44824578</v>
      </c>
      <c r="BQ61" s="223">
        <f t="shared" si="38"/>
        <v>49307035.800000004</v>
      </c>
      <c r="BR61" s="65">
        <v>50000000</v>
      </c>
      <c r="BS61" s="222">
        <v>50000000</v>
      </c>
      <c r="BT61" s="245">
        <f>50000000*0.75</f>
        <v>37500000</v>
      </c>
      <c r="BU61" s="866">
        <v>33000000</v>
      </c>
      <c r="BV61" s="347">
        <v>33000000</v>
      </c>
    </row>
    <row r="62" spans="1:90" x14ac:dyDescent="0.25">
      <c r="A62" s="54" t="s">
        <v>701</v>
      </c>
      <c r="B62" s="448" t="s">
        <v>704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14"/>
      <c r="N62" s="14"/>
      <c r="O62" s="65"/>
      <c r="P62" s="65"/>
      <c r="Q62" s="211"/>
      <c r="R62" s="65"/>
      <c r="S62" s="65"/>
      <c r="T62" s="65"/>
      <c r="U62" s="65"/>
      <c r="V62" s="69"/>
      <c r="W62" s="69"/>
      <c r="X62" s="121"/>
      <c r="Y62" s="14"/>
      <c r="Z62" s="226"/>
      <c r="AA62" s="227"/>
      <c r="AB62" s="65"/>
      <c r="AC62" s="222"/>
      <c r="AD62" s="65"/>
      <c r="AE62" s="121"/>
      <c r="AF62" s="65"/>
      <c r="AG62" s="65"/>
      <c r="AL62" s="65"/>
      <c r="AM62" s="65"/>
      <c r="AN62" s="222"/>
      <c r="AO62" s="222"/>
      <c r="AP62" s="222"/>
      <c r="AR62" s="69"/>
      <c r="AT62" s="65"/>
      <c r="AU62" s="55"/>
      <c r="AV62" s="55"/>
      <c r="AW62" s="430"/>
      <c r="AX62" s="430"/>
      <c r="AY62" s="69"/>
      <c r="AZ62" s="69"/>
      <c r="BA62" s="69"/>
      <c r="BB62" s="501"/>
      <c r="BE62" s="501"/>
      <c r="BF62" s="221"/>
      <c r="BG62" s="517"/>
      <c r="BH62" s="222"/>
      <c r="BI62" s="65"/>
      <c r="BJ62" s="65"/>
      <c r="BK62" s="65"/>
      <c r="BL62" s="258"/>
      <c r="BM62" s="65"/>
      <c r="BN62" s="65">
        <v>13000000</v>
      </c>
      <c r="BO62" s="55">
        <v>26475281</v>
      </c>
      <c r="BP62" s="55">
        <f t="shared" si="37"/>
        <v>31770337.200000003</v>
      </c>
      <c r="BQ62" s="223">
        <f t="shared" si="38"/>
        <v>34947370.920000009</v>
      </c>
      <c r="BR62" s="65">
        <v>35000000</v>
      </c>
      <c r="BS62" s="222">
        <v>35000000</v>
      </c>
      <c r="BT62" s="245">
        <f>35000000*0.9</f>
        <v>31500000</v>
      </c>
      <c r="BU62" s="865">
        <v>10000000</v>
      </c>
      <c r="BV62" s="347">
        <v>10000000</v>
      </c>
    </row>
    <row r="63" spans="1:90" x14ac:dyDescent="0.25">
      <c r="A63" s="54" t="s">
        <v>702</v>
      </c>
      <c r="B63" s="448" t="s">
        <v>705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14"/>
      <c r="N63" s="14"/>
      <c r="O63" s="65"/>
      <c r="P63" s="65"/>
      <c r="Q63" s="211"/>
      <c r="R63" s="65"/>
      <c r="S63" s="65"/>
      <c r="T63" s="65"/>
      <c r="U63" s="65"/>
      <c r="V63" s="69"/>
      <c r="W63" s="69"/>
      <c r="X63" s="121"/>
      <c r="Y63" s="14"/>
      <c r="Z63" s="226"/>
      <c r="AA63" s="227"/>
      <c r="AB63" s="65"/>
      <c r="AC63" s="222"/>
      <c r="AD63" s="65"/>
      <c r="AE63" s="121"/>
      <c r="AF63" s="65"/>
      <c r="AG63" s="65"/>
      <c r="AL63" s="65"/>
      <c r="AM63" s="65"/>
      <c r="AN63" s="222"/>
      <c r="AO63" s="222"/>
      <c r="AP63" s="222"/>
      <c r="AR63" s="69"/>
      <c r="AT63" s="65"/>
      <c r="AU63" s="55"/>
      <c r="AV63" s="55"/>
      <c r="AW63" s="430"/>
      <c r="AX63" s="430"/>
      <c r="AY63" s="69"/>
      <c r="AZ63" s="69"/>
      <c r="BA63" s="69"/>
      <c r="BB63" s="501"/>
      <c r="BE63" s="501"/>
      <c r="BF63" s="221"/>
      <c r="BG63" s="517"/>
      <c r="BH63" s="222"/>
      <c r="BI63" s="65"/>
      <c r="BJ63" s="65"/>
      <c r="BK63" s="65"/>
      <c r="BL63" s="258"/>
      <c r="BM63" s="65"/>
      <c r="BN63" s="65">
        <v>2500000</v>
      </c>
      <c r="BO63" s="55">
        <v>2781660</v>
      </c>
      <c r="BP63" s="55">
        <f t="shared" si="37"/>
        <v>3337992</v>
      </c>
      <c r="BQ63" s="223">
        <f t="shared" si="38"/>
        <v>3671791.2</v>
      </c>
      <c r="BR63" s="65">
        <v>3000000</v>
      </c>
      <c r="BS63" s="222">
        <v>3000000</v>
      </c>
      <c r="BT63" s="245">
        <f>3000000*2</f>
        <v>6000000</v>
      </c>
      <c r="BU63" s="866">
        <v>6000000</v>
      </c>
      <c r="BV63" s="347">
        <v>6000000</v>
      </c>
      <c r="BX63" s="729"/>
    </row>
    <row r="64" spans="1:90" x14ac:dyDescent="0.25">
      <c r="A64" s="54" t="s">
        <v>231</v>
      </c>
      <c r="B64" s="55" t="s">
        <v>232</v>
      </c>
      <c r="C64" s="55">
        <v>0</v>
      </c>
      <c r="D64" s="55"/>
      <c r="E64" s="55"/>
      <c r="F64" s="55"/>
      <c r="G64" s="55">
        <v>125510</v>
      </c>
      <c r="H64" s="55">
        <v>87585</v>
      </c>
      <c r="I64" s="55">
        <f t="shared" si="0"/>
        <v>95547.272727272721</v>
      </c>
      <c r="J64" s="55"/>
      <c r="K64" s="55"/>
      <c r="L64" s="55"/>
      <c r="M64" s="1">
        <f t="shared" si="1"/>
        <v>0</v>
      </c>
      <c r="O64" s="55"/>
      <c r="P64" s="55"/>
      <c r="R64" s="55"/>
      <c r="S64" s="55"/>
      <c r="T64" s="55"/>
      <c r="U64" s="55">
        <f>R64</f>
        <v>0</v>
      </c>
      <c r="V64" s="69">
        <f t="shared" si="3"/>
        <v>0</v>
      </c>
      <c r="W64" s="69">
        <f t="shared" si="4"/>
        <v>0</v>
      </c>
      <c r="X64" s="122"/>
      <c r="Z64" s="140" t="e">
        <f t="shared" si="6"/>
        <v>#DIV/0!</v>
      </c>
      <c r="AA64" s="171">
        <f t="shared" si="34"/>
        <v>0</v>
      </c>
      <c r="AB64" s="55"/>
      <c r="AC64" s="223"/>
      <c r="AE64" s="122"/>
      <c r="AH64" s="55">
        <f t="shared" si="35"/>
        <v>0</v>
      </c>
      <c r="AI64" s="230">
        <f t="shared" si="36"/>
        <v>0</v>
      </c>
      <c r="AK64" s="230">
        <f>AI64</f>
        <v>0</v>
      </c>
      <c r="AN64" s="223"/>
      <c r="AO64" s="223"/>
      <c r="AP64" s="222"/>
      <c r="AR64" s="69">
        <f t="shared" si="10"/>
        <v>0</v>
      </c>
      <c r="AT64" s="65"/>
      <c r="AU64" s="55"/>
      <c r="AV64" s="55"/>
      <c r="AW64" s="430"/>
      <c r="AX64" s="430"/>
      <c r="AY64" s="69">
        <f t="shared" si="27"/>
        <v>0</v>
      </c>
      <c r="AZ64" s="69">
        <f t="shared" si="15"/>
        <v>0</v>
      </c>
      <c r="BA64" s="69">
        <f t="shared" si="15"/>
        <v>0</v>
      </c>
      <c r="BB64" s="501"/>
      <c r="BE64" s="501"/>
      <c r="BF64" s="221"/>
      <c r="BG64" s="517">
        <f t="shared" si="16"/>
        <v>0</v>
      </c>
      <c r="BH64" s="222">
        <f t="shared" si="39"/>
        <v>0</v>
      </c>
      <c r="BI64" s="65">
        <v>0</v>
      </c>
      <c r="BJ64" s="65"/>
      <c r="BK64" s="65"/>
      <c r="BL64" s="258">
        <f t="shared" si="19"/>
        <v>0</v>
      </c>
      <c r="BM64" s="55"/>
      <c r="BN64" s="55"/>
      <c r="BO64" s="55"/>
      <c r="BP64" s="55">
        <f t="shared" si="37"/>
        <v>0</v>
      </c>
      <c r="BQ64" s="223">
        <f t="shared" si="38"/>
        <v>0</v>
      </c>
      <c r="BR64" s="65"/>
      <c r="BS64" s="222"/>
      <c r="BT64" s="222"/>
      <c r="BU64" s="866"/>
      <c r="BV64" s="347"/>
    </row>
    <row r="65" spans="1:75" x14ac:dyDescent="0.25">
      <c r="A65" s="54" t="s">
        <v>46</v>
      </c>
      <c r="B65" s="55" t="s">
        <v>155</v>
      </c>
      <c r="C65" s="55">
        <v>100000</v>
      </c>
      <c r="D65" s="55">
        <v>141398</v>
      </c>
      <c r="E65" s="55">
        <v>150000</v>
      </c>
      <c r="F65" s="55">
        <f>276962+87585</f>
        <v>364547</v>
      </c>
      <c r="G65" s="55">
        <v>283362</v>
      </c>
      <c r="H65" s="65">
        <v>283362</v>
      </c>
      <c r="I65" s="55">
        <f t="shared" si="0"/>
        <v>309122.18181818182</v>
      </c>
      <c r="J65" s="55">
        <v>150000</v>
      </c>
      <c r="K65" s="55">
        <v>500000</v>
      </c>
      <c r="L65" s="55">
        <v>500000</v>
      </c>
      <c r="M65" s="1">
        <f t="shared" si="1"/>
        <v>161.74834075611173</v>
      </c>
      <c r="O65" s="55">
        <v>500000</v>
      </c>
      <c r="P65" s="55">
        <v>187825</v>
      </c>
      <c r="Q65" s="55">
        <v>215380</v>
      </c>
      <c r="R65" s="55">
        <v>500000</v>
      </c>
      <c r="S65" s="55">
        <v>500000</v>
      </c>
      <c r="T65" s="55">
        <v>229460</v>
      </c>
      <c r="U65" s="55">
        <f t="shared" ref="U65:U98" si="40">R65</f>
        <v>500000</v>
      </c>
      <c r="V65" s="69">
        <f t="shared" si="3"/>
        <v>500000</v>
      </c>
      <c r="W65" s="151">
        <v>250000</v>
      </c>
      <c r="X65" s="122">
        <f t="shared" si="5"/>
        <v>45.891999999999996</v>
      </c>
      <c r="Z65" s="140">
        <f t="shared" si="6"/>
        <v>1.0895145123333043</v>
      </c>
      <c r="AA65" s="171">
        <f t="shared" si="34"/>
        <v>250000</v>
      </c>
      <c r="AB65" s="55">
        <v>84470</v>
      </c>
      <c r="AC65" s="223">
        <v>127465</v>
      </c>
      <c r="AD65" s="55">
        <v>179705</v>
      </c>
      <c r="AE65" s="122">
        <f t="shared" si="7"/>
        <v>71.882000000000005</v>
      </c>
      <c r="AF65" s="55">
        <v>250000</v>
      </c>
      <c r="AG65" s="55">
        <v>207460</v>
      </c>
      <c r="AH65" s="55">
        <f t="shared" si="35"/>
        <v>248952</v>
      </c>
      <c r="AI65" s="230">
        <f t="shared" si="36"/>
        <v>248952</v>
      </c>
      <c r="AK65" s="230">
        <f>AI65</f>
        <v>248952</v>
      </c>
      <c r="AM65" s="55">
        <v>721940</v>
      </c>
      <c r="AN65" s="223"/>
      <c r="AO65" s="223"/>
      <c r="AP65" s="222">
        <v>2458952</v>
      </c>
      <c r="AQ65" s="65">
        <v>2253656</v>
      </c>
      <c r="AR65" s="69">
        <f t="shared" si="10"/>
        <v>205296</v>
      </c>
      <c r="AS65" s="415">
        <f t="shared" si="11"/>
        <v>91.651077369546059</v>
      </c>
      <c r="AT65" s="65">
        <v>2282391</v>
      </c>
      <c r="AU65" s="55">
        <f t="shared" si="12"/>
        <v>176561</v>
      </c>
      <c r="AV65" s="55">
        <f t="shared" si="13"/>
        <v>7.1803353623820234</v>
      </c>
      <c r="AW65" s="430">
        <v>248952</v>
      </c>
      <c r="AX65" s="430">
        <v>248952</v>
      </c>
      <c r="AY65" s="69">
        <f t="shared" si="27"/>
        <v>248952</v>
      </c>
      <c r="AZ65" s="69">
        <f t="shared" si="15"/>
        <v>248952</v>
      </c>
      <c r="BA65" s="69">
        <f t="shared" si="15"/>
        <v>248952</v>
      </c>
      <c r="BB65" s="501">
        <v>248952</v>
      </c>
      <c r="BC65" s="501">
        <v>948952</v>
      </c>
      <c r="BD65" s="501">
        <v>558166</v>
      </c>
      <c r="BE65" s="501">
        <v>611850</v>
      </c>
      <c r="BF65" s="221">
        <v>796132</v>
      </c>
      <c r="BG65" s="517">
        <f t="shared" si="16"/>
        <v>955358.39999999991</v>
      </c>
      <c r="BH65" s="222">
        <f t="shared" si="39"/>
        <v>268868.16000000003</v>
      </c>
      <c r="BI65" s="65">
        <v>568868</v>
      </c>
      <c r="BJ65" s="65">
        <v>284315</v>
      </c>
      <c r="BK65" s="65">
        <v>502536</v>
      </c>
      <c r="BL65" s="258">
        <f t="shared" si="19"/>
        <v>603043.19999999995</v>
      </c>
      <c r="BM65" s="65">
        <v>500000</v>
      </c>
      <c r="BN65" s="65">
        <v>500000</v>
      </c>
      <c r="BO65" s="55">
        <v>733176</v>
      </c>
      <c r="BP65" s="55">
        <f t="shared" si="37"/>
        <v>879811.20000000007</v>
      </c>
      <c r="BQ65" s="223">
        <f t="shared" si="38"/>
        <v>967792.32000000018</v>
      </c>
      <c r="BR65" s="65">
        <v>1000000</v>
      </c>
      <c r="BS65" s="222">
        <v>1000000</v>
      </c>
      <c r="BT65" s="222">
        <v>1000000</v>
      </c>
      <c r="BU65" s="866">
        <v>450000</v>
      </c>
      <c r="BV65" s="347">
        <v>450000</v>
      </c>
    </row>
    <row r="66" spans="1:75" x14ac:dyDescent="0.25">
      <c r="A66" s="54" t="s">
        <v>47</v>
      </c>
      <c r="B66" s="55" t="s">
        <v>156</v>
      </c>
      <c r="C66" s="55">
        <v>5580000</v>
      </c>
      <c r="D66" s="55">
        <v>7110488</v>
      </c>
      <c r="E66" s="55">
        <v>5580000</v>
      </c>
      <c r="F66" s="55">
        <v>438577</v>
      </c>
      <c r="G66" s="55">
        <v>937360</v>
      </c>
      <c r="H66" s="55">
        <v>813977</v>
      </c>
      <c r="I66" s="55">
        <f t="shared" si="0"/>
        <v>887974.90909090906</v>
      </c>
      <c r="J66" s="55">
        <v>5580000</v>
      </c>
      <c r="K66" s="55">
        <v>1000000</v>
      </c>
      <c r="L66" s="66">
        <v>1000000</v>
      </c>
      <c r="M66" s="1">
        <f t="shared" si="1"/>
        <v>112.61579463137986</v>
      </c>
      <c r="O66" s="55">
        <v>750000</v>
      </c>
      <c r="P66" s="55">
        <v>708916</v>
      </c>
      <c r="Q66" s="55">
        <v>708916</v>
      </c>
      <c r="R66" s="55">
        <v>1000000</v>
      </c>
      <c r="S66" s="55">
        <v>1250000</v>
      </c>
      <c r="T66" s="55">
        <v>1177739</v>
      </c>
      <c r="U66" s="55">
        <f t="shared" si="40"/>
        <v>1000000</v>
      </c>
      <c r="V66" s="69">
        <f t="shared" si="3"/>
        <v>1000000</v>
      </c>
      <c r="W66" s="69">
        <f t="shared" si="4"/>
        <v>1000000</v>
      </c>
      <c r="X66" s="122">
        <f t="shared" si="5"/>
        <v>117.77390000000001</v>
      </c>
      <c r="Z66" s="140">
        <f t="shared" si="6"/>
        <v>0.8490845594821943</v>
      </c>
      <c r="AA66" s="171">
        <f t="shared" si="34"/>
        <v>1000000</v>
      </c>
      <c r="AB66" s="55">
        <v>1008886</v>
      </c>
      <c r="AC66" s="223">
        <v>1171169</v>
      </c>
      <c r="AD66" s="55">
        <v>1171169</v>
      </c>
      <c r="AE66" s="122">
        <f t="shared" si="7"/>
        <v>117.11689999999999</v>
      </c>
      <c r="AF66" s="55">
        <v>1578775</v>
      </c>
      <c r="AG66" s="55">
        <v>1221169</v>
      </c>
      <c r="AH66" s="55">
        <f t="shared" si="35"/>
        <v>1465402.7999999998</v>
      </c>
      <c r="AI66" s="230">
        <f t="shared" si="36"/>
        <v>1465402.7999999998</v>
      </c>
      <c r="AK66" s="230">
        <f>AI66</f>
        <v>1465402.7999999998</v>
      </c>
      <c r="AM66" s="55">
        <v>1281669</v>
      </c>
      <c r="AN66" s="223"/>
      <c r="AO66" s="223"/>
      <c r="AP66" s="222">
        <v>255403</v>
      </c>
      <c r="AQ66" s="65">
        <v>75000</v>
      </c>
      <c r="AR66" s="69">
        <f t="shared" si="10"/>
        <v>180403</v>
      </c>
      <c r="AS66" s="415">
        <f t="shared" si="11"/>
        <v>29.365355927690747</v>
      </c>
      <c r="AT66" s="65">
        <v>75000</v>
      </c>
      <c r="AU66" s="55">
        <f t="shared" si="12"/>
        <v>180403</v>
      </c>
      <c r="AV66" s="55">
        <f t="shared" si="13"/>
        <v>70.634644072309243</v>
      </c>
      <c r="AW66" s="430">
        <v>1465403</v>
      </c>
      <c r="AX66" s="430">
        <v>1465403</v>
      </c>
      <c r="AY66" s="69">
        <f t="shared" si="27"/>
        <v>1465403</v>
      </c>
      <c r="AZ66" s="69">
        <f t="shared" si="15"/>
        <v>1465403</v>
      </c>
      <c r="BA66" s="69">
        <f t="shared" si="15"/>
        <v>1465403</v>
      </c>
      <c r="BB66" s="509">
        <v>1465403</v>
      </c>
      <c r="BC66" s="501">
        <v>205457</v>
      </c>
      <c r="BE66" s="501"/>
      <c r="BF66" s="221"/>
      <c r="BG66" s="517">
        <f t="shared" si="16"/>
        <v>0</v>
      </c>
      <c r="BH66" s="222">
        <f t="shared" si="39"/>
        <v>1582635.24</v>
      </c>
      <c r="BI66" s="65">
        <v>782635</v>
      </c>
      <c r="BJ66" s="65">
        <v>0</v>
      </c>
      <c r="BK66" s="65"/>
      <c r="BL66" s="258">
        <f t="shared" si="19"/>
        <v>0</v>
      </c>
      <c r="BM66" s="55">
        <v>0</v>
      </c>
      <c r="BN66" s="55">
        <v>0</v>
      </c>
      <c r="BO66" s="55">
        <v>820400</v>
      </c>
      <c r="BP66" s="55">
        <f t="shared" si="37"/>
        <v>984480</v>
      </c>
      <c r="BQ66" s="223">
        <f t="shared" si="38"/>
        <v>1082928</v>
      </c>
      <c r="BR66" s="65">
        <v>1000000</v>
      </c>
      <c r="BS66" s="222">
        <v>1000000</v>
      </c>
      <c r="BT66" s="222">
        <v>1000000</v>
      </c>
      <c r="BU66" s="866">
        <v>8500000</v>
      </c>
      <c r="BV66" s="347">
        <v>8500000</v>
      </c>
    </row>
    <row r="67" spans="1:75" x14ac:dyDescent="0.25">
      <c r="A67" s="54" t="s">
        <v>48</v>
      </c>
      <c r="B67" s="55" t="s">
        <v>157</v>
      </c>
      <c r="C67" s="55">
        <v>39200</v>
      </c>
      <c r="D67" s="55">
        <v>1228821</v>
      </c>
      <c r="E67" s="55">
        <v>39200</v>
      </c>
      <c r="F67" s="55">
        <v>119212</v>
      </c>
      <c r="G67" s="55">
        <v>190165</v>
      </c>
      <c r="H67" s="55">
        <v>119212</v>
      </c>
      <c r="I67" s="55">
        <f t="shared" si="0"/>
        <v>130049.45454545454</v>
      </c>
      <c r="J67" s="55">
        <v>39200</v>
      </c>
      <c r="K67" s="55">
        <v>0</v>
      </c>
      <c r="L67" s="55">
        <v>0</v>
      </c>
      <c r="M67" s="1">
        <f t="shared" si="1"/>
        <v>0</v>
      </c>
      <c r="O67" s="55"/>
      <c r="P67" s="55"/>
      <c r="Q67" s="55"/>
      <c r="R67" s="55"/>
      <c r="S67" s="55"/>
      <c r="T67" s="55"/>
      <c r="U67" s="55">
        <f t="shared" si="40"/>
        <v>0</v>
      </c>
      <c r="V67" s="69">
        <f t="shared" si="3"/>
        <v>0</v>
      </c>
      <c r="W67" s="69">
        <f t="shared" si="4"/>
        <v>0</v>
      </c>
      <c r="X67" s="122"/>
      <c r="Z67" s="140" t="e">
        <f t="shared" si="6"/>
        <v>#DIV/0!</v>
      </c>
      <c r="AA67" s="171">
        <f t="shared" si="34"/>
        <v>0</v>
      </c>
      <c r="AB67" s="55"/>
      <c r="AC67" s="223"/>
      <c r="AE67" s="122"/>
      <c r="AH67" s="55">
        <f t="shared" si="35"/>
        <v>0</v>
      </c>
      <c r="AI67" s="230">
        <f t="shared" si="36"/>
        <v>0</v>
      </c>
      <c r="AK67" s="230">
        <f>AI67</f>
        <v>0</v>
      </c>
      <c r="AN67" s="223"/>
      <c r="AO67" s="223"/>
      <c r="AP67" s="222"/>
      <c r="AR67" s="69">
        <f t="shared" si="10"/>
        <v>0</v>
      </c>
      <c r="AS67" s="415" t="e">
        <f t="shared" si="11"/>
        <v>#DIV/0!</v>
      </c>
      <c r="AT67" s="65"/>
      <c r="AU67" s="55">
        <f t="shared" si="12"/>
        <v>0</v>
      </c>
      <c r="AV67" s="55" t="e">
        <f t="shared" si="13"/>
        <v>#DIV/0!</v>
      </c>
      <c r="AW67" s="430"/>
      <c r="AX67" s="430"/>
      <c r="AY67" s="69">
        <f t="shared" si="27"/>
        <v>0</v>
      </c>
      <c r="AZ67" s="69">
        <f t="shared" si="15"/>
        <v>0</v>
      </c>
      <c r="BA67" s="69">
        <f t="shared" si="15"/>
        <v>0</v>
      </c>
      <c r="BB67" s="501"/>
      <c r="BE67" s="501"/>
      <c r="BF67" s="221"/>
      <c r="BG67" s="517">
        <f t="shared" si="16"/>
        <v>0</v>
      </c>
      <c r="BH67" s="222">
        <f t="shared" si="39"/>
        <v>0</v>
      </c>
      <c r="BI67" s="65"/>
      <c r="BJ67" s="65"/>
      <c r="BK67" s="65"/>
      <c r="BL67" s="258">
        <f t="shared" si="19"/>
        <v>0</v>
      </c>
      <c r="BM67" s="55"/>
      <c r="BN67" s="55"/>
      <c r="BO67" s="55"/>
      <c r="BP67" s="55">
        <f t="shared" si="37"/>
        <v>0</v>
      </c>
      <c r="BQ67" s="223">
        <f t="shared" si="38"/>
        <v>0</v>
      </c>
      <c r="BR67" s="65"/>
      <c r="BS67" s="222"/>
      <c r="BT67" s="222"/>
      <c r="BU67" s="866"/>
      <c r="BV67" s="347"/>
    </row>
    <row r="68" spans="1:75" x14ac:dyDescent="0.25">
      <c r="A68" s="54" t="s">
        <v>233</v>
      </c>
      <c r="B68" s="55" t="s">
        <v>234</v>
      </c>
      <c r="C68" s="55">
        <v>0</v>
      </c>
      <c r="D68" s="55"/>
      <c r="E68" s="55"/>
      <c r="F68" s="55"/>
      <c r="G68" s="55">
        <v>1111338</v>
      </c>
      <c r="H68" s="55">
        <v>1108338</v>
      </c>
      <c r="I68" s="55">
        <f t="shared" si="0"/>
        <v>1209096</v>
      </c>
      <c r="J68" s="55"/>
      <c r="K68" s="55">
        <v>1500000</v>
      </c>
      <c r="L68" s="55">
        <v>1500000</v>
      </c>
      <c r="M68" s="1">
        <f t="shared" si="1"/>
        <v>124.05962801961135</v>
      </c>
      <c r="O68" s="55">
        <v>500000</v>
      </c>
      <c r="P68" s="55">
        <v>144000</v>
      </c>
      <c r="Q68" s="55">
        <v>144000</v>
      </c>
      <c r="R68" s="55">
        <v>1500000</v>
      </c>
      <c r="S68" s="55">
        <v>300000</v>
      </c>
      <c r="T68" s="55">
        <v>144000</v>
      </c>
      <c r="U68" s="66">
        <v>150000</v>
      </c>
      <c r="V68" s="69">
        <v>500000</v>
      </c>
      <c r="W68" s="151">
        <v>200000</v>
      </c>
      <c r="X68" s="122">
        <f t="shared" si="5"/>
        <v>28.799999999999997</v>
      </c>
      <c r="Z68" s="140">
        <f t="shared" si="6"/>
        <v>1.3888888888888888</v>
      </c>
      <c r="AA68" s="171">
        <f t="shared" si="34"/>
        <v>200000</v>
      </c>
      <c r="AB68" s="55"/>
      <c r="AC68" s="223"/>
      <c r="AE68" s="122">
        <f t="shared" si="7"/>
        <v>0</v>
      </c>
      <c r="AH68" s="55">
        <f t="shared" si="35"/>
        <v>0</v>
      </c>
      <c r="AI68" s="230">
        <f t="shared" si="36"/>
        <v>0</v>
      </c>
      <c r="AK68" s="230">
        <f>AI68</f>
        <v>0</v>
      </c>
      <c r="AN68" s="223"/>
      <c r="AO68" s="223"/>
      <c r="AP68" s="222"/>
      <c r="AR68" s="69">
        <f t="shared" si="10"/>
        <v>0</v>
      </c>
      <c r="AS68" s="415" t="e">
        <f t="shared" si="11"/>
        <v>#DIV/0!</v>
      </c>
      <c r="AT68" s="65"/>
      <c r="AU68" s="55">
        <f t="shared" si="12"/>
        <v>0</v>
      </c>
      <c r="AV68" s="55" t="e">
        <f t="shared" si="13"/>
        <v>#DIV/0!</v>
      </c>
      <c r="AW68" s="430"/>
      <c r="AX68" s="430"/>
      <c r="AY68" s="69">
        <f t="shared" si="27"/>
        <v>0</v>
      </c>
      <c r="AZ68" s="69">
        <f t="shared" si="15"/>
        <v>0</v>
      </c>
      <c r="BA68" s="69">
        <f t="shared" si="15"/>
        <v>0</v>
      </c>
      <c r="BB68" s="501"/>
      <c r="BE68" s="501"/>
      <c r="BF68" s="221"/>
      <c r="BG68" s="517">
        <f t="shared" si="16"/>
        <v>0</v>
      </c>
      <c r="BH68" s="222">
        <f t="shared" si="39"/>
        <v>0</v>
      </c>
      <c r="BI68" s="65"/>
      <c r="BJ68" s="65"/>
      <c r="BK68" s="65"/>
      <c r="BL68" s="258">
        <f t="shared" si="19"/>
        <v>0</v>
      </c>
      <c r="BM68" s="55"/>
      <c r="BN68" s="55"/>
      <c r="BO68" s="55"/>
      <c r="BP68" s="55">
        <f t="shared" si="37"/>
        <v>0</v>
      </c>
      <c r="BQ68" s="223">
        <f t="shared" si="38"/>
        <v>0</v>
      </c>
      <c r="BR68" s="65"/>
      <c r="BS68" s="222"/>
      <c r="BT68" s="222"/>
      <c r="BU68" s="866">
        <v>6600000</v>
      </c>
      <c r="BV68" s="347">
        <v>6600000</v>
      </c>
    </row>
    <row r="69" spans="1:75" x14ac:dyDescent="0.25">
      <c r="A69" s="54" t="s">
        <v>49</v>
      </c>
      <c r="B69" s="55" t="s">
        <v>158</v>
      </c>
      <c r="C69" s="55">
        <v>45078500</v>
      </c>
      <c r="D69" s="55">
        <v>21358397</v>
      </c>
      <c r="E69" s="55">
        <v>34909654</v>
      </c>
      <c r="F69" s="55">
        <f>26451475+834388+699980</f>
        <v>27985843</v>
      </c>
      <c r="G69" s="55">
        <v>34619316</v>
      </c>
      <c r="H69" s="55">
        <v>28857938</v>
      </c>
      <c r="I69" s="55">
        <f t="shared" si="0"/>
        <v>31481386.90909091</v>
      </c>
      <c r="J69" s="55">
        <v>34909654</v>
      </c>
      <c r="K69" s="55">
        <v>33000000</v>
      </c>
      <c r="L69" s="66">
        <f>33000000-8000000</f>
        <v>25000000</v>
      </c>
      <c r="M69" s="1">
        <f t="shared" si="1"/>
        <v>79.412003264636112</v>
      </c>
      <c r="N69" s="1">
        <f>K69-L69</f>
        <v>8000000</v>
      </c>
      <c r="O69" s="55">
        <v>26400000</v>
      </c>
      <c r="P69" s="55">
        <v>20172819</v>
      </c>
      <c r="Q69" s="55">
        <v>22007456</v>
      </c>
      <c r="R69" s="55">
        <v>25000000</v>
      </c>
      <c r="S69" s="55">
        <v>30571000</v>
      </c>
      <c r="T69" s="55">
        <v>27696372</v>
      </c>
      <c r="U69" s="55">
        <v>23000000</v>
      </c>
      <c r="V69" s="69">
        <v>20000000</v>
      </c>
      <c r="W69" s="69">
        <v>20000000</v>
      </c>
      <c r="X69" s="122">
        <f t="shared" si="5"/>
        <v>138.48186000000001</v>
      </c>
      <c r="Z69" s="140">
        <f t="shared" si="6"/>
        <v>0.72211623962878602</v>
      </c>
      <c r="AA69" s="171">
        <f t="shared" si="34"/>
        <v>20000000</v>
      </c>
      <c r="AB69" s="55">
        <v>17210437</v>
      </c>
      <c r="AC69" s="223">
        <v>25024389</v>
      </c>
      <c r="AD69" s="55">
        <v>29297448</v>
      </c>
      <c r="AE69" s="122">
        <f t="shared" si="7"/>
        <v>146.48723999999999</v>
      </c>
      <c r="AF69" s="55">
        <v>51938787</v>
      </c>
      <c r="AG69" s="55">
        <v>39460310</v>
      </c>
      <c r="AH69" s="55">
        <f t="shared" si="35"/>
        <v>47352372</v>
      </c>
      <c r="AI69" s="230">
        <f t="shared" si="36"/>
        <v>47352372</v>
      </c>
      <c r="AK69" s="332">
        <f>AI69-8000000-11000000</f>
        <v>28352372</v>
      </c>
      <c r="AM69" s="55">
        <v>51093037</v>
      </c>
      <c r="AN69" s="223"/>
      <c r="AO69" s="223"/>
      <c r="AP69" s="222">
        <v>57166372</v>
      </c>
      <c r="AQ69" s="65">
        <v>47700033</v>
      </c>
      <c r="AR69" s="69">
        <f t="shared" si="10"/>
        <v>9466339</v>
      </c>
      <c r="AS69" s="415">
        <f t="shared" si="11"/>
        <v>83.44072105887706</v>
      </c>
      <c r="AT69" s="65">
        <v>54790575</v>
      </c>
      <c r="AU69" s="55">
        <f t="shared" si="12"/>
        <v>2375797</v>
      </c>
      <c r="AV69" s="55">
        <f t="shared" si="13"/>
        <v>4.1559345413768778</v>
      </c>
      <c r="AW69" s="430">
        <v>28352372</v>
      </c>
      <c r="AX69" s="430">
        <f>28352372+1800000</f>
        <v>30152372</v>
      </c>
      <c r="AY69" s="69">
        <f t="shared" si="27"/>
        <v>30152372</v>
      </c>
      <c r="AZ69" s="69">
        <f t="shared" si="15"/>
        <v>30152372</v>
      </c>
      <c r="BA69" s="69">
        <f t="shared" si="15"/>
        <v>30152372</v>
      </c>
      <c r="BB69" s="501">
        <v>30152372</v>
      </c>
      <c r="BC69" s="501">
        <v>45886347</v>
      </c>
      <c r="BD69" s="501">
        <v>34565173</v>
      </c>
      <c r="BE69" s="501">
        <v>46729929</v>
      </c>
      <c r="BF69" s="221">
        <v>50832707</v>
      </c>
      <c r="BG69" s="517">
        <f t="shared" si="16"/>
        <v>60999248.400000006</v>
      </c>
      <c r="BH69" s="222">
        <f t="shared" si="39"/>
        <v>32564561.760000002</v>
      </c>
      <c r="BI69" s="579">
        <f>59494930+7874016</f>
        <v>67368946</v>
      </c>
      <c r="BJ69" s="65">
        <v>31071745</v>
      </c>
      <c r="BK69" s="65">
        <v>59439175</v>
      </c>
      <c r="BL69" s="258">
        <f t="shared" si="19"/>
        <v>71327010</v>
      </c>
      <c r="BM69" s="55">
        <v>32000000</v>
      </c>
      <c r="BN69" s="55">
        <v>32000000</v>
      </c>
      <c r="BO69" s="646">
        <v>45598218</v>
      </c>
      <c r="BP69" s="55">
        <f t="shared" si="37"/>
        <v>54717861.599999994</v>
      </c>
      <c r="BQ69" s="223">
        <f t="shared" si="38"/>
        <v>60189647.759999998</v>
      </c>
      <c r="BR69" s="65">
        <v>55000000</v>
      </c>
      <c r="BS69" s="222">
        <v>55000000</v>
      </c>
      <c r="BT69" s="245">
        <v>31000000</v>
      </c>
      <c r="BU69" s="869">
        <v>48150000</v>
      </c>
      <c r="BV69" s="347">
        <v>52190000</v>
      </c>
      <c r="BW69" s="754" t="s">
        <v>796</v>
      </c>
    </row>
    <row r="70" spans="1:75" x14ac:dyDescent="0.25">
      <c r="A70" s="54" t="s">
        <v>50</v>
      </c>
      <c r="B70" s="55" t="s">
        <v>159</v>
      </c>
      <c r="C70" s="55">
        <v>845000</v>
      </c>
      <c r="D70" s="55">
        <v>743116</v>
      </c>
      <c r="E70" s="55">
        <v>925000</v>
      </c>
      <c r="F70" s="55">
        <f>102645+230000</f>
        <v>332645</v>
      </c>
      <c r="G70" s="55">
        <v>895000</v>
      </c>
      <c r="H70" s="55">
        <v>102645</v>
      </c>
      <c r="I70" s="55">
        <f t="shared" si="0"/>
        <v>111976.36363636363</v>
      </c>
      <c r="J70" s="55">
        <v>925000</v>
      </c>
      <c r="K70" s="55">
        <v>250000</v>
      </c>
      <c r="L70" s="55">
        <v>250000</v>
      </c>
      <c r="M70" s="1">
        <f t="shared" si="1"/>
        <v>223.26140256872392</v>
      </c>
      <c r="O70" s="55">
        <v>250000</v>
      </c>
      <c r="P70" s="55">
        <v>25605</v>
      </c>
      <c r="Q70" s="55">
        <v>25605</v>
      </c>
      <c r="R70" s="55">
        <v>250000</v>
      </c>
      <c r="S70" s="55">
        <v>169000</v>
      </c>
      <c r="T70" s="55">
        <v>25605</v>
      </c>
      <c r="U70" s="55">
        <f t="shared" si="40"/>
        <v>250000</v>
      </c>
      <c r="V70" s="69">
        <f t="shared" si="3"/>
        <v>250000</v>
      </c>
      <c r="W70" s="69">
        <f t="shared" si="4"/>
        <v>250000</v>
      </c>
      <c r="X70" s="122">
        <f t="shared" si="5"/>
        <v>10.241999999999999</v>
      </c>
      <c r="Z70" s="140">
        <f t="shared" si="6"/>
        <v>9.763718023823472</v>
      </c>
      <c r="AA70" s="171">
        <f t="shared" si="34"/>
        <v>250000</v>
      </c>
      <c r="AB70" s="55">
        <v>930</v>
      </c>
      <c r="AC70" s="223">
        <v>930</v>
      </c>
      <c r="AD70" s="55">
        <v>930</v>
      </c>
      <c r="AE70" s="55">
        <v>930</v>
      </c>
      <c r="AF70" s="55">
        <v>150000</v>
      </c>
      <c r="AG70" s="55">
        <v>930</v>
      </c>
      <c r="AH70" s="55">
        <f t="shared" si="35"/>
        <v>1116</v>
      </c>
      <c r="AI70" s="230">
        <f t="shared" si="36"/>
        <v>1116</v>
      </c>
      <c r="AK70" s="230">
        <f>AI70</f>
        <v>1116</v>
      </c>
      <c r="AM70" s="55">
        <v>32785</v>
      </c>
      <c r="AN70" s="223"/>
      <c r="AO70" s="223"/>
      <c r="AP70" s="222">
        <v>21116</v>
      </c>
      <c r="AQ70" s="65">
        <v>9820</v>
      </c>
      <c r="AR70" s="69">
        <f t="shared" si="10"/>
        <v>11296</v>
      </c>
      <c r="AS70" s="415">
        <f t="shared" si="11"/>
        <v>46.505019890130704</v>
      </c>
      <c r="AT70" s="65">
        <v>9820</v>
      </c>
      <c r="AU70" s="55">
        <f t="shared" si="12"/>
        <v>11296</v>
      </c>
      <c r="AV70" s="55">
        <f t="shared" si="13"/>
        <v>53.494980109869296</v>
      </c>
      <c r="AW70" s="430">
        <v>1116</v>
      </c>
      <c r="AX70" s="430">
        <v>1116</v>
      </c>
      <c r="AY70" s="69">
        <f t="shared" si="27"/>
        <v>1116</v>
      </c>
      <c r="AZ70" s="69">
        <f t="shared" si="15"/>
        <v>1116</v>
      </c>
      <c r="BA70" s="69">
        <f t="shared" si="15"/>
        <v>1116</v>
      </c>
      <c r="BB70" s="501">
        <v>1116</v>
      </c>
      <c r="BC70" s="501">
        <v>1116</v>
      </c>
      <c r="BE70" s="501">
        <v>27885</v>
      </c>
      <c r="BF70" s="221">
        <v>27885</v>
      </c>
      <c r="BG70" s="517">
        <f t="shared" si="16"/>
        <v>33462</v>
      </c>
      <c r="BH70" s="222">
        <f t="shared" si="39"/>
        <v>1205.28</v>
      </c>
      <c r="BI70" s="65">
        <v>201205</v>
      </c>
      <c r="BJ70" s="65">
        <v>41115</v>
      </c>
      <c r="BK70" s="65">
        <v>46345</v>
      </c>
      <c r="BL70" s="258">
        <f t="shared" si="19"/>
        <v>55614</v>
      </c>
      <c r="BM70" s="65">
        <v>55000</v>
      </c>
      <c r="BN70" s="65">
        <v>55000</v>
      </c>
      <c r="BO70" s="55">
        <v>125955</v>
      </c>
      <c r="BP70" s="55">
        <f t="shared" si="37"/>
        <v>151146</v>
      </c>
      <c r="BQ70" s="223">
        <f t="shared" si="38"/>
        <v>166260.6</v>
      </c>
      <c r="BR70" s="65">
        <v>150000</v>
      </c>
      <c r="BS70" s="222">
        <v>150000</v>
      </c>
      <c r="BT70" s="222">
        <v>150000</v>
      </c>
      <c r="BU70" s="866">
        <v>100000</v>
      </c>
      <c r="BV70" s="347">
        <v>100000</v>
      </c>
    </row>
    <row r="71" spans="1:75" x14ac:dyDescent="0.25">
      <c r="A71" s="54" t="s">
        <v>257</v>
      </c>
      <c r="B71" s="55" t="s">
        <v>258</v>
      </c>
      <c r="C71" s="55">
        <v>0</v>
      </c>
      <c r="D71" s="55"/>
      <c r="E71" s="55"/>
      <c r="F71" s="55"/>
      <c r="G71" s="55">
        <v>230000</v>
      </c>
      <c r="H71" s="55">
        <v>230000</v>
      </c>
      <c r="I71" s="55">
        <f t="shared" si="0"/>
        <v>250909.09090909091</v>
      </c>
      <c r="J71" s="55"/>
      <c r="K71" s="55"/>
      <c r="L71" s="55"/>
      <c r="M71" s="1">
        <f t="shared" si="1"/>
        <v>0</v>
      </c>
      <c r="O71" s="55"/>
      <c r="P71" s="55"/>
      <c r="Q71" s="55"/>
      <c r="R71" s="55"/>
      <c r="S71" s="55"/>
      <c r="T71" s="55"/>
      <c r="U71" s="55">
        <f t="shared" si="40"/>
        <v>0</v>
      </c>
      <c r="V71" s="69">
        <f t="shared" si="3"/>
        <v>0</v>
      </c>
      <c r="W71" s="69">
        <f t="shared" si="4"/>
        <v>0</v>
      </c>
      <c r="X71" s="122"/>
      <c r="Y71" s="71"/>
      <c r="Z71" s="140" t="e">
        <f t="shared" si="6"/>
        <v>#DIV/0!</v>
      </c>
      <c r="AA71" s="171">
        <f t="shared" si="34"/>
        <v>0</v>
      </c>
      <c r="AB71" s="55"/>
      <c r="AC71" s="223"/>
      <c r="AE71" s="122"/>
      <c r="AH71" s="55">
        <f t="shared" si="35"/>
        <v>0</v>
      </c>
      <c r="AI71" s="230">
        <f t="shared" si="36"/>
        <v>0</v>
      </c>
      <c r="AK71" s="230">
        <f>AI71</f>
        <v>0</v>
      </c>
      <c r="AN71" s="223"/>
      <c r="AO71" s="223"/>
      <c r="AP71" s="222"/>
      <c r="AR71" s="69">
        <f t="shared" si="10"/>
        <v>0</v>
      </c>
      <c r="AT71" s="65"/>
      <c r="AU71" s="55"/>
      <c r="AV71" s="55"/>
      <c r="AW71" s="430"/>
      <c r="AX71" s="430"/>
      <c r="AY71" s="69">
        <f t="shared" si="27"/>
        <v>0</v>
      </c>
      <c r="AZ71" s="69">
        <f t="shared" si="27"/>
        <v>0</v>
      </c>
      <c r="BA71" s="69">
        <f t="shared" ref="BA71:BA100" si="41">AZ71</f>
        <v>0</v>
      </c>
      <c r="BB71" s="501"/>
      <c r="BE71" s="501"/>
      <c r="BF71" s="221"/>
      <c r="BG71" s="517">
        <f t="shared" ref="BG71:BG100" si="42">BF71/10*12</f>
        <v>0</v>
      </c>
      <c r="BH71" s="222">
        <f t="shared" si="39"/>
        <v>0</v>
      </c>
      <c r="BI71" s="65"/>
      <c r="BJ71" s="65"/>
      <c r="BK71" s="65"/>
      <c r="BL71" s="258">
        <f t="shared" ref="BL71:BL100" si="43">BK71/10*12</f>
        <v>0</v>
      </c>
      <c r="BM71" s="55"/>
      <c r="BN71" s="55"/>
      <c r="BO71" s="55"/>
      <c r="BP71" s="55">
        <f t="shared" si="37"/>
        <v>0</v>
      </c>
      <c r="BQ71" s="223">
        <f t="shared" si="38"/>
        <v>0</v>
      </c>
      <c r="BR71" s="65"/>
      <c r="BS71" s="222"/>
      <c r="BT71" s="222"/>
      <c r="BU71" s="866"/>
      <c r="BV71" s="347"/>
    </row>
    <row r="72" spans="1:75" x14ac:dyDescent="0.25">
      <c r="A72" s="54" t="s">
        <v>51</v>
      </c>
      <c r="B72" s="55" t="s">
        <v>160</v>
      </c>
      <c r="C72" s="55">
        <v>14974786</v>
      </c>
      <c r="D72" s="55">
        <v>11439082</v>
      </c>
      <c r="E72" s="55">
        <v>14475199.560000001</v>
      </c>
      <c r="F72" s="55">
        <f>8609337+638000</f>
        <v>9247337</v>
      </c>
      <c r="G72" s="55">
        <v>13145612</v>
      </c>
      <c r="H72" s="55">
        <v>9488768</v>
      </c>
      <c r="I72" s="55">
        <f t="shared" si="0"/>
        <v>10351383.272727273</v>
      </c>
      <c r="J72" s="55">
        <v>16536841.200000001</v>
      </c>
      <c r="K72" s="55">
        <v>11124000</v>
      </c>
      <c r="L72" s="55">
        <f>SUM(L56:L69)*0.18</f>
        <v>9684000</v>
      </c>
      <c r="M72" s="1">
        <f t="shared" si="1"/>
        <v>93.552714114203226</v>
      </c>
      <c r="N72" s="1">
        <f>K72-L72</f>
        <v>1440000</v>
      </c>
      <c r="O72" s="55">
        <v>10884000</v>
      </c>
      <c r="P72" s="55">
        <v>7834411</v>
      </c>
      <c r="Q72" s="55">
        <v>8488391</v>
      </c>
      <c r="R72" s="55">
        <v>9684000</v>
      </c>
      <c r="S72" s="55">
        <v>13034000</v>
      </c>
      <c r="T72" s="55">
        <v>10141446</v>
      </c>
      <c r="U72" s="55">
        <f>SUM(U56:U71)*0.2</f>
        <v>10290000</v>
      </c>
      <c r="V72" s="55">
        <f t="shared" ref="V72:W72" si="44">SUM(V56:V71)*0.2</f>
        <v>9760000</v>
      </c>
      <c r="W72" s="55">
        <f t="shared" si="44"/>
        <v>9290000</v>
      </c>
      <c r="X72" s="122">
        <f t="shared" si="5"/>
        <v>103.90825819672132</v>
      </c>
      <c r="Y72" s="71"/>
      <c r="Z72" s="140">
        <f t="shared" si="6"/>
        <v>0.91604293904439271</v>
      </c>
      <c r="AA72" s="171">
        <f>SUM(AA56:AA69)*0.2</f>
        <v>9240000</v>
      </c>
      <c r="AB72" s="55">
        <v>6502259</v>
      </c>
      <c r="AC72" s="223">
        <v>8458574</v>
      </c>
      <c r="AD72" s="55">
        <v>9466233</v>
      </c>
      <c r="AE72" s="122">
        <f t="shared" si="7"/>
        <v>102.44840909090908</v>
      </c>
      <c r="AF72" s="55">
        <v>16240000</v>
      </c>
      <c r="AG72" s="55">
        <v>11590691</v>
      </c>
      <c r="AH72" s="55">
        <f t="shared" si="35"/>
        <v>13908829.200000001</v>
      </c>
      <c r="AI72" s="230">
        <f t="shared" si="36"/>
        <v>13908829.200000001</v>
      </c>
      <c r="AK72" s="230">
        <f>SUM(AK56:AK71)*0.18</f>
        <v>9440006.5439999998</v>
      </c>
      <c r="AM72" s="55">
        <v>13777064</v>
      </c>
      <c r="AN72" s="223"/>
      <c r="AO72" s="223"/>
      <c r="AP72" s="222">
        <v>15340007</v>
      </c>
      <c r="AQ72" s="65">
        <v>12521375</v>
      </c>
      <c r="AR72" s="69">
        <f t="shared" ref="AR72:AR100" si="45">AP72-AQ72</f>
        <v>2818632</v>
      </c>
      <c r="AS72" s="415">
        <f t="shared" ref="AS72:AS107" si="46">AQ72/AP72*100</f>
        <v>81.625614642809481</v>
      </c>
      <c r="AT72" s="65">
        <v>14413137</v>
      </c>
      <c r="AU72" s="55">
        <f t="shared" ref="AU72:AU100" si="47">AP72-AT72</f>
        <v>926870</v>
      </c>
      <c r="AV72" s="55">
        <f t="shared" ref="AV72:AV100" si="48">AU72/AP72*100</f>
        <v>6.0421745570259517</v>
      </c>
      <c r="AW72" s="430">
        <v>9440007</v>
      </c>
      <c r="AX72" s="430">
        <v>9440007</v>
      </c>
      <c r="AY72" s="69">
        <f t="shared" si="27"/>
        <v>9440007</v>
      </c>
      <c r="AZ72" s="69">
        <f t="shared" si="27"/>
        <v>9440007</v>
      </c>
      <c r="BA72" s="69">
        <f t="shared" si="41"/>
        <v>9440007</v>
      </c>
      <c r="BB72" s="501">
        <v>9440008</v>
      </c>
      <c r="BC72" s="501">
        <v>11540008</v>
      </c>
      <c r="BD72" s="501">
        <v>8932698</v>
      </c>
      <c r="BE72" s="501">
        <v>11648978</v>
      </c>
      <c r="BF72" s="221">
        <v>12780626</v>
      </c>
      <c r="BG72" s="517">
        <f t="shared" si="42"/>
        <v>15336751.200000001</v>
      </c>
      <c r="BH72" s="222">
        <f t="shared" si="39"/>
        <v>10195208.640000001</v>
      </c>
      <c r="BI72" s="579">
        <f>19703240+2125984</f>
        <v>21829224</v>
      </c>
      <c r="BJ72" s="65">
        <v>9945783</v>
      </c>
      <c r="BK72" s="65">
        <v>17173672</v>
      </c>
      <c r="BL72" s="258">
        <f t="shared" si="43"/>
        <v>20608406.399999999</v>
      </c>
      <c r="BM72" s="55">
        <f>(BM56+BM57+BM58+BM59+BM60+BM61+BM64+BM65+BM66+BM69+BM70+BM71)*0.18</f>
        <v>19089900</v>
      </c>
      <c r="BN72" s="55">
        <v>19089900</v>
      </c>
      <c r="BO72" s="55">
        <v>29147415</v>
      </c>
      <c r="BP72" s="55">
        <f>BO72/10*12</f>
        <v>34976898</v>
      </c>
      <c r="BQ72" s="223">
        <f>BP72*1.1</f>
        <v>38474587.800000004</v>
      </c>
      <c r="BR72" s="55">
        <v>29000000</v>
      </c>
      <c r="BS72" s="223">
        <v>29000000</v>
      </c>
      <c r="BT72" s="245">
        <f>SUM(BT56:BT70)*0.18</f>
        <v>22227120</v>
      </c>
      <c r="BU72" s="866">
        <v>23724000</v>
      </c>
      <c r="BV72" s="347">
        <v>23724000</v>
      </c>
    </row>
    <row r="73" spans="1:75" x14ac:dyDescent="0.25">
      <c r="A73" s="54" t="s">
        <v>237</v>
      </c>
      <c r="B73" s="55" t="s">
        <v>238</v>
      </c>
      <c r="C73" s="55">
        <v>0</v>
      </c>
      <c r="D73" s="55"/>
      <c r="E73" s="55"/>
      <c r="F73" s="55"/>
      <c r="G73" s="55">
        <v>2315920</v>
      </c>
      <c r="H73" s="55">
        <v>670000</v>
      </c>
      <c r="I73" s="55">
        <f t="shared" si="0"/>
        <v>730909.09090909094</v>
      </c>
      <c r="J73" s="55"/>
      <c r="K73" s="55"/>
      <c r="L73" s="55"/>
      <c r="M73" s="1">
        <f t="shared" si="1"/>
        <v>0</v>
      </c>
      <c r="O73" s="55">
        <v>1646000</v>
      </c>
      <c r="P73" s="55"/>
      <c r="Q73" s="55"/>
      <c r="R73" s="55"/>
      <c r="S73" s="55">
        <v>1646000</v>
      </c>
      <c r="T73" s="55"/>
      <c r="U73" s="55">
        <f t="shared" si="40"/>
        <v>0</v>
      </c>
      <c r="V73" s="69">
        <f t="shared" si="3"/>
        <v>0</v>
      </c>
      <c r="W73" s="69">
        <f t="shared" si="4"/>
        <v>0</v>
      </c>
      <c r="X73" s="122"/>
      <c r="Y73" s="71"/>
      <c r="Z73" s="140" t="e">
        <f t="shared" si="6"/>
        <v>#DIV/0!</v>
      </c>
      <c r="AA73" s="171">
        <f t="shared" si="34"/>
        <v>0</v>
      </c>
      <c r="AB73" s="55">
        <v>38849000</v>
      </c>
      <c r="AC73" s="223">
        <v>80578000</v>
      </c>
      <c r="AD73" s="55">
        <v>87496000</v>
      </c>
      <c r="AE73" s="122"/>
      <c r="AF73" s="55">
        <v>108004920</v>
      </c>
      <c r="AG73" s="55">
        <v>99441000</v>
      </c>
      <c r="AH73" s="55">
        <f t="shared" si="35"/>
        <v>119329200</v>
      </c>
      <c r="AI73" s="288">
        <v>119329200</v>
      </c>
      <c r="AJ73" s="288"/>
      <c r="AK73" s="288"/>
      <c r="AM73" s="55">
        <v>130949276</v>
      </c>
      <c r="AN73" s="223"/>
      <c r="AO73" s="223"/>
      <c r="AP73" s="222">
        <v>57500000</v>
      </c>
      <c r="AQ73" s="65">
        <v>51605238</v>
      </c>
      <c r="AR73" s="69">
        <f t="shared" si="45"/>
        <v>5894762</v>
      </c>
      <c r="AS73" s="415">
        <f t="shared" si="46"/>
        <v>89.748239999999996</v>
      </c>
      <c r="AT73" s="65">
        <v>51610098</v>
      </c>
      <c r="AU73" s="55">
        <f t="shared" si="47"/>
        <v>5889902</v>
      </c>
      <c r="AV73" s="55">
        <f t="shared" si="48"/>
        <v>10.243307826086955</v>
      </c>
      <c r="AW73" s="430"/>
      <c r="AX73" s="475">
        <f>75721087-2331907-33750000</f>
        <v>39639180</v>
      </c>
      <c r="AY73" s="69">
        <f t="shared" si="27"/>
        <v>39639180</v>
      </c>
      <c r="AZ73" s="69">
        <f t="shared" si="27"/>
        <v>39639180</v>
      </c>
      <c r="BA73" s="69">
        <f t="shared" si="41"/>
        <v>39639180</v>
      </c>
      <c r="BB73" s="501">
        <v>39639180</v>
      </c>
      <c r="BC73" s="501">
        <v>76993255</v>
      </c>
      <c r="BD73" s="501">
        <v>69150661</v>
      </c>
      <c r="BE73" s="501">
        <v>88540696</v>
      </c>
      <c r="BF73" s="221">
        <v>93165606</v>
      </c>
      <c r="BG73" s="517">
        <f t="shared" si="42"/>
        <v>111798727.19999999</v>
      </c>
      <c r="BH73" s="222">
        <f t="shared" si="39"/>
        <v>42810314.400000006</v>
      </c>
      <c r="BI73" s="65">
        <v>41460314</v>
      </c>
      <c r="BJ73" s="65">
        <v>17860704</v>
      </c>
      <c r="BK73" s="65">
        <v>20402704</v>
      </c>
      <c r="BL73" s="258">
        <f t="shared" si="43"/>
        <v>24483244.799999997</v>
      </c>
      <c r="BM73" s="55"/>
      <c r="BN73" s="55">
        <v>0</v>
      </c>
      <c r="BO73" s="55">
        <v>8033000</v>
      </c>
      <c r="BP73" s="55">
        <f t="shared" si="37"/>
        <v>9639600</v>
      </c>
      <c r="BQ73" s="223">
        <f t="shared" si="38"/>
        <v>10603560</v>
      </c>
      <c r="BR73" s="55">
        <v>0</v>
      </c>
      <c r="BS73" s="223">
        <v>0</v>
      </c>
      <c r="BT73" s="222">
        <v>0</v>
      </c>
      <c r="BU73" s="866">
        <v>28000000</v>
      </c>
      <c r="BV73" s="347">
        <v>28000000</v>
      </c>
    </row>
    <row r="74" spans="1:75" x14ac:dyDescent="0.25">
      <c r="A74" s="613" t="s">
        <v>52</v>
      </c>
      <c r="B74" s="58" t="s">
        <v>199</v>
      </c>
      <c r="C74" s="55">
        <v>0</v>
      </c>
      <c r="D74" s="55">
        <v>202531</v>
      </c>
      <c r="E74" s="55">
        <v>0</v>
      </c>
      <c r="F74" s="55"/>
      <c r="G74" s="55"/>
      <c r="H74" s="55"/>
      <c r="I74" s="55">
        <f t="shared" si="0"/>
        <v>0</v>
      </c>
      <c r="J74" s="55">
        <v>0</v>
      </c>
      <c r="K74" s="55">
        <v>0</v>
      </c>
      <c r="L74" s="55">
        <f t="shared" si="21"/>
        <v>0</v>
      </c>
      <c r="M74" s="1">
        <f t="shared" si="1"/>
        <v>0</v>
      </c>
      <c r="O74" s="55"/>
      <c r="P74" s="55"/>
      <c r="Q74" s="55"/>
      <c r="R74" s="55"/>
      <c r="S74" s="55"/>
      <c r="T74" s="55"/>
      <c r="U74" s="55">
        <f t="shared" si="40"/>
        <v>0</v>
      </c>
      <c r="V74" s="69">
        <f t="shared" si="3"/>
        <v>0</v>
      </c>
      <c r="W74" s="69">
        <f t="shared" si="4"/>
        <v>0</v>
      </c>
      <c r="X74" s="122"/>
      <c r="Y74" s="71"/>
      <c r="Z74" s="140" t="e">
        <f t="shared" si="6"/>
        <v>#DIV/0!</v>
      </c>
      <c r="AA74" s="171">
        <f t="shared" si="34"/>
        <v>0</v>
      </c>
      <c r="AB74" s="55"/>
      <c r="AC74" s="223"/>
      <c r="AE74" s="122"/>
      <c r="AH74" s="55">
        <f t="shared" si="35"/>
        <v>0</v>
      </c>
      <c r="AI74" s="230">
        <f t="shared" si="36"/>
        <v>0</v>
      </c>
      <c r="AK74" s="230">
        <f t="shared" ref="AK74:AK89" si="49">AI74</f>
        <v>0</v>
      </c>
      <c r="AN74" s="223"/>
      <c r="AO74" s="223"/>
      <c r="AP74" s="222"/>
      <c r="AR74" s="69">
        <f t="shared" si="45"/>
        <v>0</v>
      </c>
      <c r="AT74" s="65"/>
      <c r="AU74" s="55"/>
      <c r="AV74" s="55"/>
      <c r="AW74" s="430"/>
      <c r="AX74" s="430"/>
      <c r="AY74" s="69">
        <f t="shared" si="27"/>
        <v>0</v>
      </c>
      <c r="AZ74" s="69">
        <f t="shared" si="27"/>
        <v>0</v>
      </c>
      <c r="BA74" s="69">
        <f t="shared" si="41"/>
        <v>0</v>
      </c>
      <c r="BB74" s="501">
        <v>0</v>
      </c>
      <c r="BC74" s="501">
        <v>64977</v>
      </c>
      <c r="BD74" s="501">
        <v>22985</v>
      </c>
      <c r="BE74" s="501">
        <v>22985</v>
      </c>
      <c r="BF74" s="221">
        <v>22985</v>
      </c>
      <c r="BG74" s="517">
        <f t="shared" si="42"/>
        <v>27582</v>
      </c>
      <c r="BH74" s="222">
        <f t="shared" si="39"/>
        <v>0</v>
      </c>
      <c r="BI74" s="65">
        <v>0</v>
      </c>
      <c r="BJ74" s="65"/>
      <c r="BK74" s="65"/>
      <c r="BL74" s="614">
        <v>10245000</v>
      </c>
      <c r="BM74" s="65">
        <f>12500000+600000</f>
        <v>13100000</v>
      </c>
      <c r="BN74" s="65">
        <f>12500000+600000</f>
        <v>13100000</v>
      </c>
      <c r="BO74" s="55">
        <v>2807506</v>
      </c>
      <c r="BP74" s="55">
        <f t="shared" si="37"/>
        <v>3369007.1999999997</v>
      </c>
      <c r="BQ74" s="223">
        <f t="shared" si="38"/>
        <v>3705907.92</v>
      </c>
      <c r="BR74" s="55">
        <v>4000000</v>
      </c>
      <c r="BS74" s="223">
        <v>4000000</v>
      </c>
      <c r="BT74" s="725">
        <v>3000000</v>
      </c>
      <c r="BU74" s="866">
        <v>3000000</v>
      </c>
      <c r="BV74" s="347">
        <v>3000000</v>
      </c>
    </row>
    <row r="75" spans="1:75" x14ac:dyDescent="0.25">
      <c r="A75" s="54" t="s">
        <v>562</v>
      </c>
      <c r="B75" s="58" t="s">
        <v>563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14"/>
      <c r="N75" s="14"/>
      <c r="O75" s="65"/>
      <c r="P75" s="65"/>
      <c r="Q75" s="65"/>
      <c r="R75" s="65"/>
      <c r="S75" s="65"/>
      <c r="T75" s="65"/>
      <c r="U75" s="65"/>
      <c r="V75" s="69"/>
      <c r="W75" s="69"/>
      <c r="X75" s="121"/>
      <c r="Y75" s="211"/>
      <c r="Z75" s="226"/>
      <c r="AA75" s="227"/>
      <c r="AB75" s="65"/>
      <c r="AC75" s="222"/>
      <c r="AD75" s="65"/>
      <c r="AE75" s="121"/>
      <c r="AF75" s="65"/>
      <c r="AG75" s="65"/>
      <c r="AH75" s="65"/>
      <c r="AI75" s="65"/>
      <c r="AJ75" s="65"/>
      <c r="AK75" s="65"/>
      <c r="AL75" s="65"/>
      <c r="AM75" s="65"/>
      <c r="AN75" s="222"/>
      <c r="AO75" s="222"/>
      <c r="AP75" s="222">
        <v>9000</v>
      </c>
      <c r="AQ75" s="65">
        <v>0</v>
      </c>
      <c r="AR75" s="69">
        <f t="shared" si="45"/>
        <v>9000</v>
      </c>
      <c r="AS75" s="415">
        <f t="shared" si="46"/>
        <v>0</v>
      </c>
      <c r="AT75" s="65"/>
      <c r="AU75" s="65">
        <f t="shared" si="47"/>
        <v>9000</v>
      </c>
      <c r="AV75" s="65">
        <f t="shared" si="48"/>
        <v>100</v>
      </c>
      <c r="AW75" s="430"/>
      <c r="AX75" s="430"/>
      <c r="AY75" s="69">
        <f t="shared" si="27"/>
        <v>0</v>
      </c>
      <c r="AZ75" s="69">
        <f t="shared" si="27"/>
        <v>0</v>
      </c>
      <c r="BA75" s="69">
        <f t="shared" si="41"/>
        <v>0</v>
      </c>
      <c r="BB75" s="65"/>
      <c r="BC75" s="65"/>
      <c r="BD75" s="65"/>
      <c r="BE75" s="65"/>
      <c r="BF75" s="65"/>
      <c r="BG75" s="52">
        <f t="shared" si="42"/>
        <v>0</v>
      </c>
      <c r="BH75" s="222">
        <f t="shared" si="39"/>
        <v>0</v>
      </c>
      <c r="BI75" s="65">
        <v>0</v>
      </c>
      <c r="BJ75" s="65"/>
      <c r="BK75" s="65"/>
      <c r="BL75" s="258"/>
      <c r="BM75" s="65">
        <v>0</v>
      </c>
      <c r="BN75" s="65"/>
      <c r="BO75" s="55"/>
      <c r="BP75" s="55">
        <f t="shared" si="37"/>
        <v>0</v>
      </c>
      <c r="BQ75" s="223">
        <f t="shared" si="38"/>
        <v>0</v>
      </c>
      <c r="BR75" s="55"/>
      <c r="BS75" s="223"/>
      <c r="BT75" s="222"/>
      <c r="BU75" s="866"/>
      <c r="BV75" s="347"/>
    </row>
    <row r="76" spans="1:75" x14ac:dyDescent="0.25">
      <c r="A76" s="54" t="s">
        <v>53</v>
      </c>
      <c r="B76" s="55" t="s">
        <v>161</v>
      </c>
      <c r="C76" s="55">
        <v>5000000</v>
      </c>
      <c r="D76" s="55">
        <v>11823153</v>
      </c>
      <c r="E76" s="55">
        <v>5000000</v>
      </c>
      <c r="F76" s="55">
        <v>2373884</v>
      </c>
      <c r="G76" s="55">
        <v>3335684</v>
      </c>
      <c r="H76" s="55">
        <v>3073884</v>
      </c>
      <c r="I76" s="55">
        <f t="shared" si="0"/>
        <v>3353328</v>
      </c>
      <c r="J76" s="55">
        <v>5000000</v>
      </c>
      <c r="K76" s="55">
        <v>5000000</v>
      </c>
      <c r="L76" s="55">
        <f t="shared" si="21"/>
        <v>5000000</v>
      </c>
      <c r="M76" s="1">
        <f t="shared" si="1"/>
        <v>149.10560493933193</v>
      </c>
      <c r="O76" s="55">
        <v>5000000</v>
      </c>
      <c r="P76" s="55">
        <v>487700</v>
      </c>
      <c r="Q76" s="55">
        <v>487700</v>
      </c>
      <c r="R76" s="55">
        <v>5000000</v>
      </c>
      <c r="S76" s="55">
        <f>610000</f>
        <v>610000</v>
      </c>
      <c r="T76" s="55">
        <v>487700</v>
      </c>
      <c r="U76" s="55">
        <v>500000</v>
      </c>
      <c r="V76" s="69">
        <f t="shared" si="3"/>
        <v>500000</v>
      </c>
      <c r="W76" s="69">
        <f t="shared" si="4"/>
        <v>500000</v>
      </c>
      <c r="X76" s="122">
        <f t="shared" si="5"/>
        <v>97.54</v>
      </c>
      <c r="Y76" s="71"/>
      <c r="Z76" s="140">
        <f t="shared" si="6"/>
        <v>1.0252204223908141</v>
      </c>
      <c r="AA76" s="171">
        <v>0</v>
      </c>
      <c r="AB76" s="55">
        <v>146000</v>
      </c>
      <c r="AC76" s="223">
        <v>146000</v>
      </c>
      <c r="AD76" s="55">
        <v>146000</v>
      </c>
      <c r="AE76" s="122"/>
      <c r="AF76" s="55">
        <v>146000</v>
      </c>
      <c r="AG76" s="55">
        <v>146000</v>
      </c>
      <c r="AH76" s="55">
        <f t="shared" si="35"/>
        <v>175200</v>
      </c>
      <c r="AI76" s="230">
        <f t="shared" si="36"/>
        <v>175200</v>
      </c>
      <c r="AK76" s="230">
        <f t="shared" si="49"/>
        <v>175200</v>
      </c>
      <c r="AM76" s="55">
        <v>5184643</v>
      </c>
      <c r="AN76" s="223"/>
      <c r="AO76" s="223"/>
      <c r="AP76" s="222">
        <v>326200</v>
      </c>
      <c r="AQ76" s="65">
        <v>276848</v>
      </c>
      <c r="AR76" s="69">
        <f t="shared" si="45"/>
        <v>49352</v>
      </c>
      <c r="AS76" s="415">
        <f t="shared" si="46"/>
        <v>84.870631514408331</v>
      </c>
      <c r="AT76" s="65">
        <v>276848</v>
      </c>
      <c r="AU76" s="55">
        <f t="shared" si="47"/>
        <v>49352</v>
      </c>
      <c r="AV76" s="55">
        <f t="shared" si="48"/>
        <v>15.129368485591662</v>
      </c>
      <c r="AW76" s="430">
        <v>175200</v>
      </c>
      <c r="AX76" s="430">
        <v>175200</v>
      </c>
      <c r="AY76" s="69">
        <f t="shared" si="27"/>
        <v>175200</v>
      </c>
      <c r="AZ76" s="69">
        <f t="shared" si="27"/>
        <v>175200</v>
      </c>
      <c r="BA76" s="69">
        <f t="shared" si="41"/>
        <v>175200</v>
      </c>
      <c r="BB76" s="501">
        <v>175200</v>
      </c>
      <c r="BC76" s="501">
        <v>200153</v>
      </c>
      <c r="BD76" s="501">
        <v>1683</v>
      </c>
      <c r="BE76" s="501">
        <v>156402</v>
      </c>
      <c r="BF76" s="221">
        <v>151683</v>
      </c>
      <c r="BG76" s="517">
        <f t="shared" si="42"/>
        <v>182019.59999999998</v>
      </c>
      <c r="BH76" s="222">
        <f t="shared" si="39"/>
        <v>189216</v>
      </c>
      <c r="BI76" s="65">
        <v>289216</v>
      </c>
      <c r="BJ76" s="65">
        <v>253124</v>
      </c>
      <c r="BK76" s="65">
        <v>2115612</v>
      </c>
      <c r="BL76" s="258">
        <f t="shared" si="43"/>
        <v>2538734.4000000004</v>
      </c>
      <c r="BM76" s="55">
        <v>2500000</v>
      </c>
      <c r="BN76" s="55">
        <v>2500000</v>
      </c>
      <c r="BO76" s="55">
        <v>3741453</v>
      </c>
      <c r="BP76" s="55">
        <f t="shared" si="37"/>
        <v>4489743.5999999996</v>
      </c>
      <c r="BQ76" s="223">
        <f t="shared" si="38"/>
        <v>4938717.96</v>
      </c>
      <c r="BR76" s="55">
        <v>5000000</v>
      </c>
      <c r="BS76" s="223">
        <v>5000000</v>
      </c>
      <c r="BT76" s="725">
        <v>4000000</v>
      </c>
      <c r="BU76" s="866">
        <v>4000000</v>
      </c>
      <c r="BV76" s="347">
        <v>4000000</v>
      </c>
    </row>
    <row r="77" spans="1:75" x14ac:dyDescent="0.25">
      <c r="A77" s="54" t="s">
        <v>54</v>
      </c>
      <c r="B77" s="58" t="s">
        <v>200</v>
      </c>
      <c r="C77" s="55">
        <v>0</v>
      </c>
      <c r="D77" s="55">
        <v>0</v>
      </c>
      <c r="E77" s="55">
        <v>0</v>
      </c>
      <c r="F77" s="55"/>
      <c r="G77" s="55"/>
      <c r="H77" s="55"/>
      <c r="I77" s="55">
        <f t="shared" si="0"/>
        <v>0</v>
      </c>
      <c r="J77" s="55">
        <v>0</v>
      </c>
      <c r="K77" s="55">
        <v>0</v>
      </c>
      <c r="L77" s="55">
        <f t="shared" si="21"/>
        <v>0</v>
      </c>
      <c r="M77" s="1">
        <f t="shared" si="1"/>
        <v>0</v>
      </c>
      <c r="O77" s="55"/>
      <c r="P77" s="55"/>
      <c r="Q77" s="55"/>
      <c r="R77" s="55"/>
      <c r="S77" s="55"/>
      <c r="T77" s="55"/>
      <c r="U77" s="55">
        <f t="shared" si="40"/>
        <v>0</v>
      </c>
      <c r="V77" s="69">
        <f t="shared" ref="V77:W100" si="50">U77</f>
        <v>0</v>
      </c>
      <c r="W77" s="69">
        <f t="shared" ref="W77:W100" si="51">U77</f>
        <v>0</v>
      </c>
      <c r="X77" s="122"/>
      <c r="Y77" s="71"/>
      <c r="Z77" s="140" t="e">
        <f t="shared" ref="Z77:Z101" si="52">W77/T77</f>
        <v>#DIV/0!</v>
      </c>
      <c r="AA77" s="171">
        <f t="shared" si="34"/>
        <v>0</v>
      </c>
      <c r="AB77" s="55"/>
      <c r="AC77" s="223">
        <v>264000</v>
      </c>
      <c r="AD77" s="55">
        <v>264000</v>
      </c>
      <c r="AE77" s="122"/>
      <c r="AF77" s="55">
        <v>264000</v>
      </c>
      <c r="AG77" s="55">
        <v>264000</v>
      </c>
      <c r="AH77" s="55">
        <f t="shared" si="35"/>
        <v>316800</v>
      </c>
      <c r="AI77" s="230">
        <f t="shared" si="36"/>
        <v>316800</v>
      </c>
      <c r="AK77" s="230">
        <f t="shared" si="49"/>
        <v>316800</v>
      </c>
      <c r="AM77" s="55">
        <v>264000</v>
      </c>
      <c r="AN77" s="223"/>
      <c r="AO77" s="223"/>
      <c r="AP77" s="222">
        <v>316800</v>
      </c>
      <c r="AQ77" s="65">
        <v>174000</v>
      </c>
      <c r="AR77" s="69">
        <f t="shared" si="45"/>
        <v>142800</v>
      </c>
      <c r="AS77" s="415">
        <f t="shared" si="46"/>
        <v>54.924242424242422</v>
      </c>
      <c r="AT77" s="65">
        <v>174000</v>
      </c>
      <c r="AU77" s="55">
        <f t="shared" si="47"/>
        <v>142800</v>
      </c>
      <c r="AV77" s="55">
        <f t="shared" si="48"/>
        <v>45.075757575757578</v>
      </c>
      <c r="AW77" s="430">
        <v>316800</v>
      </c>
      <c r="AX77" s="430">
        <v>316800</v>
      </c>
      <c r="AY77" s="69">
        <f t="shared" si="27"/>
        <v>316800</v>
      </c>
      <c r="AZ77" s="69">
        <f t="shared" si="27"/>
        <v>316800</v>
      </c>
      <c r="BA77" s="69">
        <f t="shared" si="41"/>
        <v>316800</v>
      </c>
      <c r="BB77" s="501">
        <v>316800</v>
      </c>
      <c r="BC77" s="501">
        <v>316800</v>
      </c>
      <c r="BD77" s="501">
        <v>0</v>
      </c>
      <c r="BE77" s="501">
        <v>0</v>
      </c>
      <c r="BF77" s="221"/>
      <c r="BG77" s="517">
        <f t="shared" si="42"/>
        <v>0</v>
      </c>
      <c r="BH77" s="222">
        <f t="shared" si="39"/>
        <v>342144</v>
      </c>
      <c r="BI77" s="65">
        <v>342144</v>
      </c>
      <c r="BJ77" s="65"/>
      <c r="BK77" s="65"/>
      <c r="BL77" s="258">
        <f t="shared" si="43"/>
        <v>0</v>
      </c>
      <c r="BM77" s="55"/>
      <c r="BN77" s="55"/>
      <c r="BO77" s="55"/>
      <c r="BP77" s="55">
        <f t="shared" si="37"/>
        <v>0</v>
      </c>
      <c r="BQ77" s="223">
        <f t="shared" si="38"/>
        <v>0</v>
      </c>
      <c r="BR77" s="55"/>
      <c r="BS77" s="223"/>
      <c r="BT77" s="222"/>
      <c r="BU77" s="866"/>
      <c r="BV77" s="347"/>
    </row>
    <row r="78" spans="1:75" hidden="1" x14ac:dyDescent="0.25">
      <c r="A78" s="54" t="s">
        <v>55</v>
      </c>
      <c r="B78" s="58" t="s">
        <v>201</v>
      </c>
      <c r="C78" s="55">
        <v>0</v>
      </c>
      <c r="D78" s="55">
        <v>0</v>
      </c>
      <c r="E78" s="55">
        <v>0</v>
      </c>
      <c r="F78" s="55"/>
      <c r="G78" s="55"/>
      <c r="H78" s="55"/>
      <c r="I78" s="55">
        <f t="shared" ref="I78:I108" si="53">H78/11+H78</f>
        <v>0</v>
      </c>
      <c r="J78" s="55">
        <v>0</v>
      </c>
      <c r="K78" s="55">
        <v>0</v>
      </c>
      <c r="L78" s="55">
        <f t="shared" si="21"/>
        <v>0</v>
      </c>
      <c r="M78" s="1">
        <f t="shared" ref="M78:M108" si="54">IF(I78&lt;&gt;0,L78/I78*100,0)</f>
        <v>0</v>
      </c>
      <c r="O78" s="55"/>
      <c r="P78" s="55"/>
      <c r="Q78" s="55"/>
      <c r="R78" s="55"/>
      <c r="S78" s="55"/>
      <c r="T78" s="55"/>
      <c r="U78" s="55">
        <f t="shared" si="40"/>
        <v>0</v>
      </c>
      <c r="V78" s="69">
        <f t="shared" si="50"/>
        <v>0</v>
      </c>
      <c r="W78" s="69">
        <f t="shared" si="51"/>
        <v>0</v>
      </c>
      <c r="X78" s="122"/>
      <c r="Y78" s="71"/>
      <c r="Z78" s="140" t="e">
        <f t="shared" si="52"/>
        <v>#DIV/0!</v>
      </c>
      <c r="AA78" s="171">
        <f t="shared" si="34"/>
        <v>0</v>
      </c>
      <c r="AB78" s="55"/>
      <c r="AC78" s="223"/>
      <c r="AE78" s="122"/>
      <c r="AH78" s="55">
        <f t="shared" si="35"/>
        <v>0</v>
      </c>
      <c r="AI78" s="230">
        <f t="shared" ref="AI78:AI100" si="55">AH78*1.02</f>
        <v>0</v>
      </c>
      <c r="AK78" s="230">
        <f t="shared" si="49"/>
        <v>0</v>
      </c>
      <c r="AN78" s="223"/>
      <c r="AO78" s="223"/>
      <c r="AP78" s="222"/>
      <c r="AR78" s="69">
        <f t="shared" si="45"/>
        <v>0</v>
      </c>
      <c r="AS78" s="415" t="e">
        <f t="shared" si="46"/>
        <v>#DIV/0!</v>
      </c>
      <c r="AT78" s="65"/>
      <c r="AU78" s="55">
        <f t="shared" si="47"/>
        <v>0</v>
      </c>
      <c r="AV78" s="55" t="e">
        <f t="shared" si="48"/>
        <v>#DIV/0!</v>
      </c>
      <c r="AW78" s="430"/>
      <c r="AX78" s="430"/>
      <c r="AY78" s="69">
        <f t="shared" si="27"/>
        <v>0</v>
      </c>
      <c r="AZ78" s="69">
        <f t="shared" si="27"/>
        <v>0</v>
      </c>
      <c r="BA78" s="69">
        <f t="shared" si="41"/>
        <v>0</v>
      </c>
      <c r="BB78" s="501"/>
      <c r="BE78" s="501"/>
      <c r="BF78" s="221"/>
      <c r="BG78" s="517">
        <f t="shared" si="42"/>
        <v>0</v>
      </c>
      <c r="BH78" s="222">
        <f t="shared" si="39"/>
        <v>0</v>
      </c>
      <c r="BI78" s="65"/>
      <c r="BJ78" s="65"/>
      <c r="BK78" s="65"/>
      <c r="BL78" s="258">
        <f t="shared" si="43"/>
        <v>0</v>
      </c>
      <c r="BM78" s="55"/>
      <c r="BN78" s="55"/>
      <c r="BO78" s="55"/>
      <c r="BP78" s="55">
        <f t="shared" si="37"/>
        <v>0</v>
      </c>
      <c r="BQ78" s="223">
        <f t="shared" si="38"/>
        <v>0</v>
      </c>
      <c r="BR78" s="55"/>
      <c r="BS78" s="223"/>
      <c r="BT78" s="222"/>
      <c r="BU78" s="866"/>
      <c r="BV78" s="347"/>
    </row>
    <row r="79" spans="1:75" hidden="1" x14ac:dyDescent="0.25">
      <c r="A79" s="54" t="s">
        <v>56</v>
      </c>
      <c r="B79" s="58" t="s">
        <v>202</v>
      </c>
      <c r="C79" s="55">
        <v>0</v>
      </c>
      <c r="D79" s="55">
        <v>0</v>
      </c>
      <c r="E79" s="55">
        <v>0</v>
      </c>
      <c r="F79" s="55"/>
      <c r="G79" s="55"/>
      <c r="H79" s="55"/>
      <c r="I79" s="55">
        <f t="shared" si="53"/>
        <v>0</v>
      </c>
      <c r="J79" s="55">
        <v>0</v>
      </c>
      <c r="K79" s="55">
        <v>0</v>
      </c>
      <c r="L79" s="55">
        <f t="shared" si="21"/>
        <v>0</v>
      </c>
      <c r="M79" s="1">
        <f t="shared" si="54"/>
        <v>0</v>
      </c>
      <c r="O79" s="55"/>
      <c r="P79" s="55"/>
      <c r="Q79" s="55"/>
      <c r="R79" s="55"/>
      <c r="S79" s="55"/>
      <c r="T79" s="55"/>
      <c r="U79" s="55">
        <f t="shared" si="40"/>
        <v>0</v>
      </c>
      <c r="V79" s="69">
        <f t="shared" si="50"/>
        <v>0</v>
      </c>
      <c r="W79" s="69">
        <f t="shared" si="51"/>
        <v>0</v>
      </c>
      <c r="X79" s="122"/>
      <c r="Y79" s="71"/>
      <c r="Z79" s="140" t="e">
        <f t="shared" si="52"/>
        <v>#DIV/0!</v>
      </c>
      <c r="AA79" s="171">
        <f t="shared" si="34"/>
        <v>0</v>
      </c>
      <c r="AB79" s="55"/>
      <c r="AC79" s="223"/>
      <c r="AE79" s="122"/>
      <c r="AH79" s="55">
        <f t="shared" si="35"/>
        <v>0</v>
      </c>
      <c r="AI79" s="230">
        <f t="shared" si="55"/>
        <v>0</v>
      </c>
      <c r="AK79" s="230">
        <f t="shared" si="49"/>
        <v>0</v>
      </c>
      <c r="AN79" s="223"/>
      <c r="AO79" s="223"/>
      <c r="AP79" s="222"/>
      <c r="AR79" s="69">
        <f t="shared" si="45"/>
        <v>0</v>
      </c>
      <c r="AS79" s="415" t="e">
        <f t="shared" si="46"/>
        <v>#DIV/0!</v>
      </c>
      <c r="AT79" s="65"/>
      <c r="AU79" s="55">
        <f t="shared" si="47"/>
        <v>0</v>
      </c>
      <c r="AV79" s="55" t="e">
        <f t="shared" si="48"/>
        <v>#DIV/0!</v>
      </c>
      <c r="AW79" s="430"/>
      <c r="AX79" s="430"/>
      <c r="AY79" s="69">
        <f t="shared" si="27"/>
        <v>0</v>
      </c>
      <c r="AZ79" s="69">
        <f t="shared" si="27"/>
        <v>0</v>
      </c>
      <c r="BA79" s="69">
        <f t="shared" si="41"/>
        <v>0</v>
      </c>
      <c r="BB79" s="501"/>
      <c r="BE79" s="501"/>
      <c r="BF79" s="221"/>
      <c r="BG79" s="517">
        <f t="shared" si="42"/>
        <v>0</v>
      </c>
      <c r="BH79" s="222">
        <f t="shared" si="39"/>
        <v>0</v>
      </c>
      <c r="BI79" s="65"/>
      <c r="BJ79" s="65"/>
      <c r="BK79" s="65"/>
      <c r="BL79" s="258">
        <f t="shared" si="43"/>
        <v>0</v>
      </c>
      <c r="BM79" s="55"/>
      <c r="BN79" s="55"/>
      <c r="BO79" s="55"/>
      <c r="BP79" s="55">
        <f t="shared" si="37"/>
        <v>0</v>
      </c>
      <c r="BQ79" s="223">
        <f t="shared" si="38"/>
        <v>0</v>
      </c>
      <c r="BR79" s="55"/>
      <c r="BS79" s="223"/>
      <c r="BT79" s="222"/>
      <c r="BU79" s="866"/>
      <c r="BV79" s="347"/>
    </row>
    <row r="80" spans="1:75" hidden="1" x14ac:dyDescent="0.25">
      <c r="A80" s="54" t="s">
        <v>57</v>
      </c>
      <c r="B80" s="58" t="s">
        <v>203</v>
      </c>
      <c r="C80" s="55">
        <v>0</v>
      </c>
      <c r="D80" s="55">
        <v>0</v>
      </c>
      <c r="E80" s="65">
        <v>0</v>
      </c>
      <c r="F80" s="55"/>
      <c r="G80" s="55"/>
      <c r="H80" s="55"/>
      <c r="I80" s="55">
        <f t="shared" si="53"/>
        <v>0</v>
      </c>
      <c r="J80" s="55">
        <v>0</v>
      </c>
      <c r="K80" s="55">
        <v>0</v>
      </c>
      <c r="L80" s="55">
        <f t="shared" si="21"/>
        <v>0</v>
      </c>
      <c r="M80" s="1">
        <f t="shared" si="54"/>
        <v>0</v>
      </c>
      <c r="O80" s="55"/>
      <c r="P80" s="55"/>
      <c r="Q80" s="55"/>
      <c r="R80" s="55"/>
      <c r="S80" s="55"/>
      <c r="T80" s="55"/>
      <c r="U80" s="55">
        <f t="shared" si="40"/>
        <v>0</v>
      </c>
      <c r="V80" s="69">
        <f t="shared" si="50"/>
        <v>0</v>
      </c>
      <c r="W80" s="69">
        <f t="shared" si="51"/>
        <v>0</v>
      </c>
      <c r="X80" s="122"/>
      <c r="Y80" s="71"/>
      <c r="Z80" s="140" t="e">
        <f t="shared" si="52"/>
        <v>#DIV/0!</v>
      </c>
      <c r="AA80" s="171">
        <f t="shared" si="34"/>
        <v>0</v>
      </c>
      <c r="AB80" s="55"/>
      <c r="AC80" s="223"/>
      <c r="AE80" s="122"/>
      <c r="AH80" s="55">
        <f t="shared" si="35"/>
        <v>0</v>
      </c>
      <c r="AI80" s="230">
        <f t="shared" si="55"/>
        <v>0</v>
      </c>
      <c r="AK80" s="230">
        <f t="shared" si="49"/>
        <v>0</v>
      </c>
      <c r="AN80" s="223"/>
      <c r="AO80" s="223"/>
      <c r="AP80" s="222"/>
      <c r="AR80" s="69">
        <f t="shared" si="45"/>
        <v>0</v>
      </c>
      <c r="AS80" s="415" t="e">
        <f t="shared" si="46"/>
        <v>#DIV/0!</v>
      </c>
      <c r="AT80" s="65"/>
      <c r="AU80" s="55">
        <f t="shared" si="47"/>
        <v>0</v>
      </c>
      <c r="AV80" s="55" t="e">
        <f t="shared" si="48"/>
        <v>#DIV/0!</v>
      </c>
      <c r="AW80" s="430"/>
      <c r="AX80" s="430"/>
      <c r="AY80" s="69">
        <f t="shared" si="27"/>
        <v>0</v>
      </c>
      <c r="AZ80" s="69">
        <f t="shared" si="27"/>
        <v>0</v>
      </c>
      <c r="BA80" s="69">
        <f t="shared" si="41"/>
        <v>0</v>
      </c>
      <c r="BB80" s="501"/>
      <c r="BE80" s="501"/>
      <c r="BF80" s="221"/>
      <c r="BG80" s="517">
        <f t="shared" si="42"/>
        <v>0</v>
      </c>
      <c r="BH80" s="222">
        <f t="shared" si="39"/>
        <v>0</v>
      </c>
      <c r="BI80" s="65"/>
      <c r="BJ80" s="65"/>
      <c r="BK80" s="65"/>
      <c r="BL80" s="258">
        <f t="shared" si="43"/>
        <v>0</v>
      </c>
      <c r="BM80" s="55"/>
      <c r="BN80" s="55"/>
      <c r="BO80" s="55"/>
      <c r="BP80" s="55">
        <f t="shared" si="37"/>
        <v>0</v>
      </c>
      <c r="BQ80" s="223">
        <f t="shared" si="38"/>
        <v>0</v>
      </c>
      <c r="BR80" s="55"/>
      <c r="BS80" s="223"/>
      <c r="BT80" s="222"/>
      <c r="BU80" s="866"/>
      <c r="BV80" s="347"/>
    </row>
    <row r="81" spans="1:75" x14ac:dyDescent="0.25">
      <c r="A81" s="54" t="s">
        <v>58</v>
      </c>
      <c r="B81" s="55" t="s">
        <v>162</v>
      </c>
      <c r="C81" s="55">
        <v>730000</v>
      </c>
      <c r="D81" s="55">
        <v>730000</v>
      </c>
      <c r="E81" s="65">
        <v>730000</v>
      </c>
      <c r="F81" s="55">
        <v>0</v>
      </c>
      <c r="G81" s="55">
        <v>730000</v>
      </c>
      <c r="H81" s="55">
        <v>0</v>
      </c>
      <c r="I81" s="55">
        <f t="shared" si="53"/>
        <v>0</v>
      </c>
      <c r="J81" s="55">
        <v>730000</v>
      </c>
      <c r="K81" s="55">
        <v>730000</v>
      </c>
      <c r="L81" s="55">
        <f>'támogatások K512'!H14</f>
        <v>730000</v>
      </c>
      <c r="M81" s="1">
        <f t="shared" si="54"/>
        <v>0</v>
      </c>
      <c r="O81" s="55">
        <v>730000</v>
      </c>
      <c r="P81" s="55"/>
      <c r="Q81" s="55"/>
      <c r="R81" s="55"/>
      <c r="S81" s="55">
        <v>730000</v>
      </c>
      <c r="T81" s="55">
        <v>0</v>
      </c>
      <c r="U81" s="55">
        <f>'támogatások K512'!N14</f>
        <v>990000</v>
      </c>
      <c r="V81" s="69">
        <f t="shared" si="50"/>
        <v>990000</v>
      </c>
      <c r="W81" s="150">
        <f t="shared" si="51"/>
        <v>990000</v>
      </c>
      <c r="X81" s="122">
        <f t="shared" ref="X81:X108" si="56">T81/V81*100</f>
        <v>0</v>
      </c>
      <c r="Y81" s="71"/>
      <c r="Z81" s="140" t="e">
        <f t="shared" si="52"/>
        <v>#DIV/0!</v>
      </c>
      <c r="AA81" s="171">
        <f>'támogatások K512'!P14</f>
        <v>990000</v>
      </c>
      <c r="AB81" s="55">
        <v>490000</v>
      </c>
      <c r="AC81" s="223">
        <v>985000</v>
      </c>
      <c r="AD81" s="55">
        <v>985000</v>
      </c>
      <c r="AE81" s="55">
        <v>985000</v>
      </c>
      <c r="AF81" s="55">
        <v>990000</v>
      </c>
      <c r="AG81" s="55">
        <v>985000</v>
      </c>
      <c r="AH81" s="55">
        <f t="shared" si="35"/>
        <v>1182000</v>
      </c>
      <c r="AI81" s="230">
        <f t="shared" si="55"/>
        <v>1205640</v>
      </c>
      <c r="AK81" s="230">
        <f t="shared" si="49"/>
        <v>1205640</v>
      </c>
      <c r="AM81" s="55">
        <v>985000</v>
      </c>
      <c r="AN81" s="223"/>
      <c r="AO81" s="223"/>
      <c r="AP81" s="222">
        <v>1205640</v>
      </c>
      <c r="AQ81" s="65">
        <v>0</v>
      </c>
      <c r="AR81" s="69">
        <f t="shared" si="45"/>
        <v>1205640</v>
      </c>
      <c r="AS81" s="415">
        <f t="shared" si="46"/>
        <v>0</v>
      </c>
      <c r="AT81" s="65"/>
      <c r="AU81" s="55">
        <f t="shared" si="47"/>
        <v>1205640</v>
      </c>
      <c r="AV81" s="55">
        <f t="shared" si="48"/>
        <v>100</v>
      </c>
      <c r="AW81" s="430">
        <v>1205640</v>
      </c>
      <c r="AX81" s="430">
        <v>1205640</v>
      </c>
      <c r="AY81" s="69">
        <f t="shared" si="27"/>
        <v>1205640</v>
      </c>
      <c r="AZ81" s="69">
        <f t="shared" si="27"/>
        <v>1205640</v>
      </c>
      <c r="BA81" s="69">
        <f t="shared" si="41"/>
        <v>1205640</v>
      </c>
      <c r="BB81" s="501">
        <v>1205640</v>
      </c>
      <c r="BC81" s="501">
        <v>1205640</v>
      </c>
      <c r="BD81" s="501">
        <v>0</v>
      </c>
      <c r="BE81" s="501">
        <v>0</v>
      </c>
      <c r="BF81" s="221"/>
      <c r="BG81" s="517">
        <f t="shared" si="42"/>
        <v>0</v>
      </c>
      <c r="BH81" s="222">
        <v>1302091</v>
      </c>
      <c r="BI81" s="65">
        <v>1302091</v>
      </c>
      <c r="BJ81" s="65">
        <v>0</v>
      </c>
      <c r="BK81" s="65"/>
      <c r="BL81" s="258">
        <f t="shared" si="43"/>
        <v>0</v>
      </c>
      <c r="BM81" s="55"/>
      <c r="BN81" s="55"/>
      <c r="BO81" s="55"/>
      <c r="BP81" s="55">
        <f t="shared" si="37"/>
        <v>0</v>
      </c>
      <c r="BQ81" s="223">
        <f t="shared" si="38"/>
        <v>0</v>
      </c>
      <c r="BR81" s="55"/>
      <c r="BS81" s="223"/>
      <c r="BT81" s="222"/>
      <c r="BU81" s="866"/>
      <c r="BV81" s="347"/>
    </row>
    <row r="82" spans="1:75" x14ac:dyDescent="0.25">
      <c r="A82" s="54" t="s">
        <v>59</v>
      </c>
      <c r="B82" s="55" t="s">
        <v>163</v>
      </c>
      <c r="C82" s="55">
        <v>12306416</v>
      </c>
      <c r="D82" s="55">
        <v>9223836</v>
      </c>
      <c r="E82" s="65">
        <v>15160000</v>
      </c>
      <c r="F82" s="55">
        <f>32000+4390980</f>
        <v>4422980</v>
      </c>
      <c r="G82" s="55">
        <v>15160000</v>
      </c>
      <c r="H82" s="55">
        <v>4762480</v>
      </c>
      <c r="I82" s="55">
        <f t="shared" si="53"/>
        <v>5195432.7272727275</v>
      </c>
      <c r="J82" s="55">
        <v>15350000</v>
      </c>
      <c r="K82" s="55">
        <v>14150000</v>
      </c>
      <c r="L82" s="55">
        <f>'segély K48'!L25+'támogatások K512'!H16+'támogatások K512'!H15</f>
        <v>14150000</v>
      </c>
      <c r="M82" s="1">
        <f t="shared" si="54"/>
        <v>272.35459956437262</v>
      </c>
      <c r="O82" s="55">
        <v>14150000</v>
      </c>
      <c r="P82" s="55">
        <v>5177110</v>
      </c>
      <c r="Q82" s="55">
        <v>5431999</v>
      </c>
      <c r="R82" s="55">
        <v>730000</v>
      </c>
      <c r="S82" s="55">
        <v>14150000</v>
      </c>
      <c r="T82" s="55">
        <v>6583616</v>
      </c>
      <c r="U82" s="55">
        <f>'segély K48'!R25</f>
        <v>18320000</v>
      </c>
      <c r="V82" s="69">
        <f t="shared" si="50"/>
        <v>18320000</v>
      </c>
      <c r="W82" s="150">
        <f>'segély K48'!S25</f>
        <v>16750000</v>
      </c>
      <c r="X82" s="122">
        <f t="shared" si="56"/>
        <v>35.936768558951968</v>
      </c>
      <c r="Z82" s="140">
        <f t="shared" si="52"/>
        <v>2.5441945581273271</v>
      </c>
      <c r="AA82" s="171">
        <f>'segély K48'!T25</f>
        <v>16750000</v>
      </c>
      <c r="AB82" s="55">
        <v>2665344</v>
      </c>
      <c r="AC82" s="223">
        <v>3219950</v>
      </c>
      <c r="AD82" s="55">
        <v>3686119</v>
      </c>
      <c r="AE82" s="122">
        <f t="shared" ref="AE82:AE88" si="57">AD82/AA82*100</f>
        <v>22.006680597014924</v>
      </c>
      <c r="AF82" s="55">
        <v>16750000</v>
      </c>
      <c r="AG82" s="55">
        <v>4126224</v>
      </c>
      <c r="AH82" s="55">
        <f t="shared" si="35"/>
        <v>4951468.8000000007</v>
      </c>
      <c r="AI82" s="230">
        <f t="shared" si="55"/>
        <v>5050498.1760000009</v>
      </c>
      <c r="AK82" s="230">
        <f t="shared" si="49"/>
        <v>5050498.1760000009</v>
      </c>
      <c r="AM82" s="55">
        <v>5746769</v>
      </c>
      <c r="AN82" s="223"/>
      <c r="AO82" s="223"/>
      <c r="AP82" s="222">
        <v>5050498</v>
      </c>
      <c r="AQ82" s="65">
        <v>2389835</v>
      </c>
      <c r="AR82" s="69">
        <f t="shared" si="45"/>
        <v>2660663</v>
      </c>
      <c r="AS82" s="415">
        <f t="shared" si="46"/>
        <v>47.318799057043478</v>
      </c>
      <c r="AT82" s="65">
        <v>2881185</v>
      </c>
      <c r="AU82" s="55">
        <f t="shared" si="47"/>
        <v>2169313</v>
      </c>
      <c r="AV82" s="55">
        <f t="shared" si="48"/>
        <v>42.952457361630472</v>
      </c>
      <c r="AW82" s="430">
        <v>5050498</v>
      </c>
      <c r="AX82" s="430">
        <v>5050498</v>
      </c>
      <c r="AY82" s="69">
        <f>'segély K48'!Z27</f>
        <v>8730000</v>
      </c>
      <c r="AZ82" s="69">
        <f t="shared" si="27"/>
        <v>8730000</v>
      </c>
      <c r="BA82" s="69">
        <f t="shared" si="41"/>
        <v>8730000</v>
      </c>
      <c r="BB82" s="501">
        <v>8730000</v>
      </c>
      <c r="BC82" s="501">
        <v>8730000</v>
      </c>
      <c r="BD82" s="501">
        <v>2293558</v>
      </c>
      <c r="BE82" s="501">
        <v>3448626</v>
      </c>
      <c r="BF82" s="221">
        <v>4094360</v>
      </c>
      <c r="BG82" s="517">
        <f t="shared" si="42"/>
        <v>4913232</v>
      </c>
      <c r="BH82" s="222">
        <v>9430000</v>
      </c>
      <c r="BI82" s="65">
        <v>9430000</v>
      </c>
      <c r="BJ82" s="65">
        <v>1230085</v>
      </c>
      <c r="BK82" s="65">
        <v>1868485</v>
      </c>
      <c r="BL82" s="258">
        <f t="shared" si="43"/>
        <v>2242182</v>
      </c>
      <c r="BM82" s="55">
        <v>7060000</v>
      </c>
      <c r="BN82" s="55">
        <v>7060000</v>
      </c>
      <c r="BO82" s="55">
        <v>1924437</v>
      </c>
      <c r="BP82" s="55">
        <f t="shared" si="37"/>
        <v>2309324.4000000004</v>
      </c>
      <c r="BQ82" s="223">
        <f t="shared" ref="BQ82:BQ88" si="58">BP82*1.2</f>
        <v>2771189.2800000003</v>
      </c>
      <c r="BR82" s="55">
        <v>3000000</v>
      </c>
      <c r="BS82" s="223">
        <v>3000000</v>
      </c>
      <c r="BT82" s="222">
        <f>'segély K48'!AC29</f>
        <v>7250000</v>
      </c>
      <c r="BU82" s="866">
        <v>6400000</v>
      </c>
      <c r="BV82" s="347">
        <v>6400000</v>
      </c>
    </row>
    <row r="83" spans="1:75" x14ac:dyDescent="0.25">
      <c r="A83" s="54" t="s">
        <v>259</v>
      </c>
      <c r="B83" s="55" t="s">
        <v>260</v>
      </c>
      <c r="C83" s="55">
        <v>0</v>
      </c>
      <c r="D83" s="55">
        <v>0</v>
      </c>
      <c r="E83" s="65"/>
      <c r="F83" s="55"/>
      <c r="G83" s="55">
        <v>4329985</v>
      </c>
      <c r="H83" s="55">
        <v>4329613</v>
      </c>
      <c r="I83" s="55">
        <f t="shared" si="53"/>
        <v>4723214.1818181816</v>
      </c>
      <c r="J83" s="55"/>
      <c r="K83" s="55"/>
      <c r="L83" s="55"/>
      <c r="M83" s="1">
        <f t="shared" si="54"/>
        <v>0</v>
      </c>
      <c r="O83" s="55">
        <v>968000</v>
      </c>
      <c r="P83" s="55">
        <v>948607</v>
      </c>
      <c r="Q83" s="55">
        <v>948607</v>
      </c>
      <c r="R83" s="55">
        <v>14150000</v>
      </c>
      <c r="S83" s="55">
        <v>968000</v>
      </c>
      <c r="T83" s="55">
        <v>948607</v>
      </c>
      <c r="U83" s="55">
        <v>1000000</v>
      </c>
      <c r="V83" s="69">
        <f t="shared" si="50"/>
        <v>1000000</v>
      </c>
      <c r="W83" s="69">
        <f t="shared" si="51"/>
        <v>1000000</v>
      </c>
      <c r="X83" s="122">
        <f t="shared" si="56"/>
        <v>94.860699999999994</v>
      </c>
      <c r="Z83" s="140">
        <f t="shared" si="52"/>
        <v>1.0541773358197863</v>
      </c>
      <c r="AA83" s="171">
        <f t="shared" si="34"/>
        <v>1000000</v>
      </c>
      <c r="AB83" s="55">
        <v>81600</v>
      </c>
      <c r="AC83" s="223">
        <v>81600</v>
      </c>
      <c r="AD83" s="55">
        <v>81600</v>
      </c>
      <c r="AE83" s="55">
        <v>81600</v>
      </c>
      <c r="AF83" s="55">
        <v>1000000</v>
      </c>
      <c r="AG83" s="55">
        <v>81600</v>
      </c>
      <c r="AH83" s="55">
        <f t="shared" si="35"/>
        <v>97920</v>
      </c>
      <c r="AI83" s="230">
        <f t="shared" si="55"/>
        <v>99878.400000000009</v>
      </c>
      <c r="AK83" s="230">
        <f t="shared" si="49"/>
        <v>99878.400000000009</v>
      </c>
      <c r="AM83" s="55">
        <v>81600</v>
      </c>
      <c r="AN83" s="223"/>
      <c r="AO83" s="223"/>
      <c r="AP83" s="222">
        <v>99878</v>
      </c>
      <c r="AQ83" s="65">
        <v>0</v>
      </c>
      <c r="AR83" s="69">
        <f t="shared" si="45"/>
        <v>99878</v>
      </c>
      <c r="AS83" s="415">
        <f t="shared" si="46"/>
        <v>0</v>
      </c>
      <c r="AT83" s="65"/>
      <c r="AU83" s="55">
        <f t="shared" si="47"/>
        <v>99878</v>
      </c>
      <c r="AV83" s="55">
        <f t="shared" si="48"/>
        <v>100</v>
      </c>
      <c r="AW83" s="430">
        <v>99878</v>
      </c>
      <c r="AX83" s="430">
        <v>99878</v>
      </c>
      <c r="AY83" s="69">
        <f t="shared" si="27"/>
        <v>99878</v>
      </c>
      <c r="AZ83" s="69">
        <f t="shared" si="27"/>
        <v>99878</v>
      </c>
      <c r="BA83" s="69">
        <f t="shared" si="41"/>
        <v>99878</v>
      </c>
      <c r="BB83" s="501">
        <v>99877</v>
      </c>
      <c r="BE83" s="501">
        <v>1539420</v>
      </c>
      <c r="BF83" s="221">
        <v>1649006</v>
      </c>
      <c r="BG83" s="517">
        <f t="shared" si="42"/>
        <v>1978807.2000000002</v>
      </c>
      <c r="BH83" s="222">
        <v>0</v>
      </c>
      <c r="BI83" s="65">
        <v>76200</v>
      </c>
      <c r="BJ83" s="65">
        <v>76200</v>
      </c>
      <c r="BK83" s="65">
        <v>76200</v>
      </c>
      <c r="BL83" s="258">
        <f t="shared" si="43"/>
        <v>91440</v>
      </c>
      <c r="BM83" s="55">
        <v>0</v>
      </c>
      <c r="BN83" s="55">
        <v>0</v>
      </c>
      <c r="BO83" s="55">
        <v>10557328</v>
      </c>
      <c r="BP83" s="55">
        <f t="shared" si="37"/>
        <v>12668793.600000001</v>
      </c>
      <c r="BQ83" s="223"/>
      <c r="BR83" s="55"/>
      <c r="BS83" s="223"/>
      <c r="BT83" s="222"/>
      <c r="BU83" s="866">
        <v>13641450</v>
      </c>
      <c r="BV83" s="872">
        <v>14454240</v>
      </c>
    </row>
    <row r="84" spans="1:75" x14ac:dyDescent="0.25">
      <c r="A84" s="54" t="s">
        <v>60</v>
      </c>
      <c r="B84" s="55" t="s">
        <v>164</v>
      </c>
      <c r="C84" s="55">
        <v>4390000</v>
      </c>
      <c r="D84" s="55">
        <v>4390000</v>
      </c>
      <c r="E84" s="65">
        <v>4390000</v>
      </c>
      <c r="F84" s="55">
        <v>4329613</v>
      </c>
      <c r="G84" s="55">
        <v>4390000</v>
      </c>
      <c r="H84" s="55">
        <v>0</v>
      </c>
      <c r="I84" s="55">
        <f t="shared" si="53"/>
        <v>0</v>
      </c>
      <c r="J84" s="55">
        <v>4390000</v>
      </c>
      <c r="K84" s="55">
        <v>2400000</v>
      </c>
      <c r="L84" s="55">
        <f>'támogatások K512'!H12+'támogatások K512'!H13</f>
        <v>2400000</v>
      </c>
      <c r="M84" s="1">
        <f t="shared" si="54"/>
        <v>0</v>
      </c>
      <c r="O84" s="55"/>
      <c r="P84" s="55"/>
      <c r="Q84" s="55"/>
      <c r="R84" s="55"/>
      <c r="S84" s="55"/>
      <c r="T84" s="55"/>
      <c r="U84" s="55">
        <f t="shared" si="40"/>
        <v>0</v>
      </c>
      <c r="V84" s="69">
        <f t="shared" si="50"/>
        <v>0</v>
      </c>
      <c r="W84" s="69">
        <f t="shared" si="51"/>
        <v>0</v>
      </c>
      <c r="X84" s="122"/>
      <c r="Z84" s="140" t="e">
        <f t="shared" si="52"/>
        <v>#DIV/0!</v>
      </c>
      <c r="AA84" s="171">
        <f t="shared" si="34"/>
        <v>0</v>
      </c>
      <c r="AB84" s="55"/>
      <c r="AC84" s="223"/>
      <c r="AE84" s="122"/>
      <c r="AH84" s="55">
        <f t="shared" si="35"/>
        <v>0</v>
      </c>
      <c r="AI84" s="230">
        <f t="shared" si="55"/>
        <v>0</v>
      </c>
      <c r="AK84" s="230">
        <f t="shared" si="49"/>
        <v>0</v>
      </c>
      <c r="AN84" s="223"/>
      <c r="AO84" s="223"/>
      <c r="AP84" s="222"/>
      <c r="AR84" s="69">
        <f t="shared" si="45"/>
        <v>0</v>
      </c>
      <c r="AT84" s="65"/>
      <c r="AU84" s="55"/>
      <c r="AV84" s="55"/>
      <c r="AW84" s="430"/>
      <c r="AX84" s="430"/>
      <c r="AY84" s="69">
        <f t="shared" si="27"/>
        <v>0</v>
      </c>
      <c r="AZ84" s="69">
        <f t="shared" si="27"/>
        <v>0</v>
      </c>
      <c r="BA84" s="69">
        <f t="shared" si="41"/>
        <v>0</v>
      </c>
      <c r="BB84" s="501"/>
      <c r="BE84" s="501"/>
      <c r="BF84" s="221"/>
      <c r="BG84" s="517">
        <f t="shared" si="42"/>
        <v>0</v>
      </c>
      <c r="BH84" s="222">
        <f t="shared" si="39"/>
        <v>0</v>
      </c>
      <c r="BI84" s="65">
        <v>0</v>
      </c>
      <c r="BJ84" s="65"/>
      <c r="BK84" s="65"/>
      <c r="BL84" s="258">
        <f t="shared" si="43"/>
        <v>0</v>
      </c>
      <c r="BM84" s="55"/>
      <c r="BN84" s="55"/>
      <c r="BO84" s="55"/>
      <c r="BP84" s="55">
        <f t="shared" si="37"/>
        <v>0</v>
      </c>
      <c r="BQ84" s="223">
        <f t="shared" si="58"/>
        <v>0</v>
      </c>
      <c r="BR84" s="55"/>
      <c r="BS84" s="223"/>
      <c r="BT84" s="222"/>
      <c r="BU84" s="866"/>
      <c r="BV84" s="347"/>
    </row>
    <row r="85" spans="1:75" x14ac:dyDescent="0.25">
      <c r="A85" s="54" t="s">
        <v>61</v>
      </c>
      <c r="B85" s="55" t="s">
        <v>165</v>
      </c>
      <c r="C85" s="55">
        <v>2600000</v>
      </c>
      <c r="D85" s="55">
        <v>3110000</v>
      </c>
      <c r="E85" s="65">
        <v>16920000</v>
      </c>
      <c r="F85" s="55">
        <v>0</v>
      </c>
      <c r="G85" s="55">
        <v>7235470</v>
      </c>
      <c r="H85" s="55">
        <v>0</v>
      </c>
      <c r="I85" s="55">
        <f t="shared" si="53"/>
        <v>0</v>
      </c>
      <c r="J85" s="55">
        <v>16920000</v>
      </c>
      <c r="K85" s="55">
        <v>6500000</v>
      </c>
      <c r="L85" s="55">
        <f>'támogatások K512'!H9+'támogatások K512'!H10+'támogatások K512'!H11</f>
        <v>6500000</v>
      </c>
      <c r="M85" s="1">
        <f t="shared" si="54"/>
        <v>0</v>
      </c>
      <c r="O85" s="55"/>
      <c r="P85" s="55"/>
      <c r="Q85" s="55"/>
      <c r="R85" s="55">
        <v>2400000</v>
      </c>
      <c r="S85" s="55"/>
      <c r="T85" s="55"/>
      <c r="U85" s="55"/>
      <c r="V85" s="69">
        <f t="shared" si="50"/>
        <v>0</v>
      </c>
      <c r="W85" s="69">
        <f t="shared" si="51"/>
        <v>0</v>
      </c>
      <c r="X85" s="122"/>
      <c r="Z85" s="140" t="e">
        <f t="shared" si="52"/>
        <v>#DIV/0!</v>
      </c>
      <c r="AA85" s="171">
        <f t="shared" si="34"/>
        <v>0</v>
      </c>
      <c r="AB85" s="55"/>
      <c r="AC85" s="223"/>
      <c r="AE85" s="122"/>
      <c r="AH85" s="55">
        <f t="shared" si="35"/>
        <v>0</v>
      </c>
      <c r="AI85" s="230">
        <f t="shared" si="55"/>
        <v>0</v>
      </c>
      <c r="AK85" s="230">
        <f t="shared" si="49"/>
        <v>0</v>
      </c>
      <c r="AN85" s="223"/>
      <c r="AO85" s="223"/>
      <c r="AP85" s="222"/>
      <c r="AR85" s="69">
        <f t="shared" si="45"/>
        <v>0</v>
      </c>
      <c r="AT85" s="65"/>
      <c r="AU85" s="55"/>
      <c r="AV85" s="55"/>
      <c r="AW85" s="430"/>
      <c r="AX85" s="430"/>
      <c r="AY85" s="69">
        <f t="shared" si="27"/>
        <v>0</v>
      </c>
      <c r="AZ85" s="69">
        <f t="shared" si="27"/>
        <v>0</v>
      </c>
      <c r="BA85" s="69">
        <f t="shared" si="41"/>
        <v>0</v>
      </c>
      <c r="BB85" s="501"/>
      <c r="BE85" s="501"/>
      <c r="BF85" s="221"/>
      <c r="BG85" s="517">
        <f t="shared" si="42"/>
        <v>0</v>
      </c>
      <c r="BH85" s="222">
        <f t="shared" si="39"/>
        <v>0</v>
      </c>
      <c r="BI85" s="65">
        <v>0</v>
      </c>
      <c r="BJ85" s="65"/>
      <c r="BK85" s="65"/>
      <c r="BL85" s="258">
        <f t="shared" si="43"/>
        <v>0</v>
      </c>
      <c r="BM85" s="55"/>
      <c r="BN85" s="55"/>
      <c r="BO85" s="55"/>
      <c r="BP85" s="55">
        <f t="shared" si="37"/>
        <v>0</v>
      </c>
      <c r="BQ85" s="223">
        <f t="shared" si="58"/>
        <v>0</v>
      </c>
      <c r="BR85" s="55"/>
      <c r="BS85" s="223"/>
      <c r="BT85" s="223"/>
      <c r="BU85" s="866"/>
      <c r="BV85" s="347"/>
    </row>
    <row r="86" spans="1:75" x14ac:dyDescent="0.25">
      <c r="A86" s="54" t="s">
        <v>62</v>
      </c>
      <c r="B86" s="55" t="s">
        <v>166</v>
      </c>
      <c r="C86" s="55">
        <v>7430000</v>
      </c>
      <c r="D86" s="55">
        <v>101468642</v>
      </c>
      <c r="E86" s="65">
        <v>18091542</v>
      </c>
      <c r="F86" s="55">
        <f>100000+4833265+2541500</f>
        <v>7474765</v>
      </c>
      <c r="G86" s="55"/>
      <c r="H86" s="55"/>
      <c r="I86" s="55">
        <f t="shared" si="53"/>
        <v>0</v>
      </c>
      <c r="J86" s="55">
        <v>18091542</v>
      </c>
      <c r="K86" s="55">
        <v>7320200</v>
      </c>
      <c r="L86" s="55">
        <f>'támogatások K512'!H2+'támogatások K512'!H4+'támogatások K512'!H5+'támogatások K512'!H6+'támogatások K512'!H7+'támogatások K512'!H8</f>
        <v>7320200</v>
      </c>
      <c r="M86" s="1">
        <f t="shared" si="54"/>
        <v>0</v>
      </c>
      <c r="O86" s="55"/>
      <c r="P86" s="55"/>
      <c r="Q86" s="55"/>
      <c r="R86" s="55">
        <v>6500000</v>
      </c>
      <c r="S86" s="55"/>
      <c r="T86" s="55"/>
      <c r="U86" s="55"/>
      <c r="V86" s="69">
        <f t="shared" si="50"/>
        <v>0</v>
      </c>
      <c r="W86" s="69">
        <f t="shared" si="51"/>
        <v>0</v>
      </c>
      <c r="X86" s="122"/>
      <c r="Z86" s="140" t="e">
        <f t="shared" si="52"/>
        <v>#DIV/0!</v>
      </c>
      <c r="AA86" s="171">
        <f t="shared" si="34"/>
        <v>0</v>
      </c>
      <c r="AB86" s="55"/>
      <c r="AC86" s="223"/>
      <c r="AE86" s="122"/>
      <c r="AH86" s="55">
        <f t="shared" si="35"/>
        <v>0</v>
      </c>
      <c r="AI86" s="230">
        <f t="shared" si="55"/>
        <v>0</v>
      </c>
      <c r="AK86" s="230">
        <f t="shared" si="49"/>
        <v>0</v>
      </c>
      <c r="AN86" s="223"/>
      <c r="AO86" s="223"/>
      <c r="AP86" s="222"/>
      <c r="AR86" s="69">
        <f t="shared" si="45"/>
        <v>0</v>
      </c>
      <c r="AT86" s="65"/>
      <c r="AU86" s="55"/>
      <c r="AV86" s="55"/>
      <c r="AW86" s="430"/>
      <c r="AX86" s="430"/>
      <c r="AY86" s="69">
        <f t="shared" si="27"/>
        <v>0</v>
      </c>
      <c r="AZ86" s="69">
        <f t="shared" si="27"/>
        <v>0</v>
      </c>
      <c r="BA86" s="69">
        <f t="shared" si="41"/>
        <v>0</v>
      </c>
      <c r="BB86" s="501"/>
      <c r="BE86" s="501"/>
      <c r="BF86" s="221"/>
      <c r="BG86" s="517">
        <f t="shared" si="42"/>
        <v>0</v>
      </c>
      <c r="BH86" s="222">
        <f t="shared" si="39"/>
        <v>0</v>
      </c>
      <c r="BI86" s="65">
        <v>0</v>
      </c>
      <c r="BJ86" s="65"/>
      <c r="BK86" s="65"/>
      <c r="BL86" s="258">
        <f t="shared" si="43"/>
        <v>0</v>
      </c>
      <c r="BM86" s="55"/>
      <c r="BN86" s="55"/>
      <c r="BO86" s="55"/>
      <c r="BP86" s="55">
        <f t="shared" si="37"/>
        <v>0</v>
      </c>
      <c r="BQ86" s="223">
        <f t="shared" si="58"/>
        <v>0</v>
      </c>
      <c r="BR86" s="55"/>
      <c r="BS86" s="223"/>
      <c r="BT86" s="223"/>
      <c r="BU86" s="866"/>
      <c r="BV86" s="347"/>
    </row>
    <row r="87" spans="1:75" x14ac:dyDescent="0.25">
      <c r="A87" s="54" t="s">
        <v>261</v>
      </c>
      <c r="B87" s="55" t="s">
        <v>262</v>
      </c>
      <c r="C87" s="55">
        <v>0</v>
      </c>
      <c r="D87" s="55"/>
      <c r="E87" s="55"/>
      <c r="F87" s="55"/>
      <c r="G87" s="55">
        <v>12912005</v>
      </c>
      <c r="H87" s="55">
        <v>9774765</v>
      </c>
      <c r="I87" s="55">
        <f t="shared" si="53"/>
        <v>10663380</v>
      </c>
      <c r="J87" s="55"/>
      <c r="K87" s="55"/>
      <c r="L87" s="55"/>
      <c r="M87" s="1">
        <f t="shared" si="54"/>
        <v>0</v>
      </c>
      <c r="O87" s="55">
        <v>19346200</v>
      </c>
      <c r="P87" s="55">
        <v>16055770</v>
      </c>
      <c r="Q87" s="55">
        <v>18156185</v>
      </c>
      <c r="R87" s="55">
        <v>7320200</v>
      </c>
      <c r="S87" s="55">
        <v>20446200</v>
      </c>
      <c r="T87" s="55">
        <v>19595161</v>
      </c>
      <c r="U87" s="55">
        <f>'támogatások K512'!N19-'támogatások K512'!N14</f>
        <v>18003440</v>
      </c>
      <c r="V87" s="69">
        <f t="shared" si="50"/>
        <v>18003440</v>
      </c>
      <c r="W87" s="69">
        <f t="shared" si="50"/>
        <v>18003440</v>
      </c>
      <c r="X87" s="122">
        <f t="shared" si="56"/>
        <v>108.84120479197308</v>
      </c>
      <c r="Z87" s="140">
        <f t="shared" si="52"/>
        <v>0.91876969012910892</v>
      </c>
      <c r="AA87" s="171">
        <f>'támogatások K512'!P19-'támogatások K512'!P14</f>
        <v>14703440</v>
      </c>
      <c r="AB87" s="55">
        <v>16656917</v>
      </c>
      <c r="AC87" s="223">
        <v>17644617</v>
      </c>
      <c r="AD87" s="55">
        <v>17785417</v>
      </c>
      <c r="AE87" s="55">
        <v>17785417</v>
      </c>
      <c r="AF87" s="55">
        <v>20703440</v>
      </c>
      <c r="AG87" s="55">
        <v>17785417</v>
      </c>
      <c r="AH87" s="55">
        <f t="shared" si="35"/>
        <v>21342500.399999999</v>
      </c>
      <c r="AI87" s="230">
        <f t="shared" si="55"/>
        <v>21769350.408</v>
      </c>
      <c r="AK87" s="230">
        <f t="shared" si="49"/>
        <v>21769350.408</v>
      </c>
      <c r="AM87" s="55">
        <v>24468790</v>
      </c>
      <c r="AN87" s="223"/>
      <c r="AO87" s="223"/>
      <c r="AP87" s="222">
        <v>19231639</v>
      </c>
      <c r="AQ87" s="65">
        <v>16927550</v>
      </c>
      <c r="AR87" s="69">
        <f t="shared" si="45"/>
        <v>2304089</v>
      </c>
      <c r="AS87" s="415">
        <f t="shared" si="46"/>
        <v>88.019279064046501</v>
      </c>
      <c r="AT87" s="65">
        <v>18845520</v>
      </c>
      <c r="AU87" s="55">
        <f t="shared" si="47"/>
        <v>386119</v>
      </c>
      <c r="AV87" s="55">
        <f t="shared" si="48"/>
        <v>2.007727994478266</v>
      </c>
      <c r="AW87" s="430">
        <v>21769350</v>
      </c>
      <c r="AX87" s="430">
        <v>21769350</v>
      </c>
      <c r="AY87" s="69">
        <f>'támogatások K512'!T19</f>
        <v>15353440</v>
      </c>
      <c r="AZ87" s="69">
        <f t="shared" si="27"/>
        <v>15353440</v>
      </c>
      <c r="BA87" s="69">
        <f t="shared" si="41"/>
        <v>15353440</v>
      </c>
      <c r="BB87" s="501">
        <v>15353440</v>
      </c>
      <c r="BC87" s="501">
        <v>14335465</v>
      </c>
      <c r="BD87" s="501">
        <v>2777434</v>
      </c>
      <c r="BE87" s="501">
        <v>12366477</v>
      </c>
      <c r="BF87" s="221">
        <v>16269609</v>
      </c>
      <c r="BG87" s="517">
        <f t="shared" si="42"/>
        <v>19523530.799999997</v>
      </c>
      <c r="BH87" s="222">
        <v>14953440</v>
      </c>
      <c r="BI87" s="65">
        <v>14953440</v>
      </c>
      <c r="BJ87" s="65">
        <v>5859705</v>
      </c>
      <c r="BK87" s="65">
        <v>14837404</v>
      </c>
      <c r="BL87" s="258">
        <f t="shared" si="43"/>
        <v>17804884.799999997</v>
      </c>
      <c r="BM87" s="55">
        <v>10100000</v>
      </c>
      <c r="BN87" s="55">
        <v>10100000</v>
      </c>
      <c r="BO87" s="55">
        <v>8095592</v>
      </c>
      <c r="BP87" s="55">
        <f t="shared" si="37"/>
        <v>9714710.3999999985</v>
      </c>
      <c r="BQ87" s="223">
        <v>10000000</v>
      </c>
      <c r="BR87" s="55">
        <v>10000000</v>
      </c>
      <c r="BS87" s="223">
        <v>10000000</v>
      </c>
      <c r="BT87" s="223">
        <v>8000000</v>
      </c>
      <c r="BU87" s="866"/>
      <c r="BV87" s="347">
        <v>8000000</v>
      </c>
      <c r="BW87" s="754" t="s">
        <v>816</v>
      </c>
    </row>
    <row r="88" spans="1:75" x14ac:dyDescent="0.25">
      <c r="A88" s="54" t="s">
        <v>63</v>
      </c>
      <c r="B88" s="55" t="s">
        <v>167</v>
      </c>
      <c r="C88" s="55">
        <v>46008000</v>
      </c>
      <c r="D88" s="55">
        <v>9495492</v>
      </c>
      <c r="E88" s="55">
        <v>0</v>
      </c>
      <c r="F88" s="55">
        <v>0</v>
      </c>
      <c r="G88" s="55">
        <v>46188962</v>
      </c>
      <c r="H88" s="55">
        <v>0</v>
      </c>
      <c r="I88" s="55">
        <f t="shared" si="53"/>
        <v>0</v>
      </c>
      <c r="J88" s="55">
        <v>0</v>
      </c>
      <c r="K88" s="55">
        <v>0</v>
      </c>
      <c r="L88" s="55">
        <f t="shared" si="21"/>
        <v>0</v>
      </c>
      <c r="M88" s="1">
        <f t="shared" si="54"/>
        <v>0</v>
      </c>
      <c r="O88" s="55">
        <v>49764538</v>
      </c>
      <c r="P88" s="55"/>
      <c r="Q88" s="55"/>
      <c r="R88" s="55"/>
      <c r="S88" s="55">
        <f>21177+50398269</f>
        <v>50419446</v>
      </c>
      <c r="T88" s="55"/>
      <c r="U88" s="55">
        <f t="shared" si="40"/>
        <v>0</v>
      </c>
      <c r="V88" s="69">
        <f t="shared" si="50"/>
        <v>0</v>
      </c>
      <c r="W88" s="69">
        <f t="shared" si="51"/>
        <v>0</v>
      </c>
      <c r="X88" s="122"/>
      <c r="Z88" s="140" t="e">
        <f t="shared" si="52"/>
        <v>#DIV/0!</v>
      </c>
      <c r="AA88" s="171">
        <v>35645652</v>
      </c>
      <c r="AB88" s="55">
        <v>0</v>
      </c>
      <c r="AC88" s="223">
        <v>0</v>
      </c>
      <c r="AE88" s="122">
        <f t="shared" si="57"/>
        <v>0</v>
      </c>
      <c r="AF88" s="55">
        <v>6263332</v>
      </c>
      <c r="AH88" s="55">
        <f t="shared" si="35"/>
        <v>0</v>
      </c>
      <c r="AI88" s="230">
        <f t="shared" si="55"/>
        <v>0</v>
      </c>
      <c r="AK88" s="230">
        <f t="shared" si="49"/>
        <v>0</v>
      </c>
      <c r="AM88" s="55">
        <v>0</v>
      </c>
      <c r="AN88" s="223"/>
      <c r="AO88" s="223"/>
      <c r="AP88" s="222">
        <v>3619105</v>
      </c>
      <c r="AQ88" s="65">
        <v>0</v>
      </c>
      <c r="AR88" s="69">
        <f t="shared" si="45"/>
        <v>3619105</v>
      </c>
      <c r="AS88" s="415">
        <f t="shared" si="46"/>
        <v>0</v>
      </c>
      <c r="AT88" s="65">
        <v>0</v>
      </c>
      <c r="AU88" s="55">
        <f t="shared" si="47"/>
        <v>3619105</v>
      </c>
      <c r="AV88" s="55">
        <f t="shared" si="48"/>
        <v>100</v>
      </c>
      <c r="AW88" s="430">
        <v>41573673</v>
      </c>
      <c r="AX88" s="475"/>
      <c r="AY88" s="69">
        <f t="shared" si="27"/>
        <v>0</v>
      </c>
      <c r="AZ88" s="69"/>
      <c r="BA88" s="69">
        <f t="shared" si="41"/>
        <v>0</v>
      </c>
      <c r="BB88" s="501">
        <v>16754917</v>
      </c>
      <c r="BC88" s="501">
        <v>77506936</v>
      </c>
      <c r="BD88" s="501">
        <v>0</v>
      </c>
      <c r="BE88" s="501">
        <v>0</v>
      </c>
      <c r="BF88" s="221"/>
      <c r="BG88" s="517">
        <f t="shared" si="42"/>
        <v>0</v>
      </c>
      <c r="BH88" s="222">
        <v>15055959</v>
      </c>
      <c r="BI88" s="65">
        <v>11153350</v>
      </c>
      <c r="BJ88" s="65">
        <v>0</v>
      </c>
      <c r="BK88" s="65">
        <v>0</v>
      </c>
      <c r="BL88" s="258">
        <f t="shared" si="43"/>
        <v>0</v>
      </c>
      <c r="BM88" s="55"/>
      <c r="BN88" s="55">
        <v>13726079</v>
      </c>
      <c r="BO88" s="55">
        <v>0</v>
      </c>
      <c r="BP88" s="55">
        <f t="shared" si="37"/>
        <v>0</v>
      </c>
      <c r="BQ88" s="223">
        <f t="shared" si="58"/>
        <v>0</v>
      </c>
      <c r="BR88" s="55"/>
      <c r="BS88" s="223"/>
      <c r="BT88" s="223"/>
      <c r="BU88" s="866">
        <v>1751130</v>
      </c>
      <c r="BV88" s="872"/>
      <c r="BW88" s="762"/>
    </row>
    <row r="89" spans="1:75" x14ac:dyDescent="0.25">
      <c r="A89" s="54" t="s">
        <v>64</v>
      </c>
      <c r="B89" s="58" t="s">
        <v>204</v>
      </c>
      <c r="C89" s="55">
        <v>0</v>
      </c>
      <c r="D89" s="55">
        <v>0</v>
      </c>
      <c r="E89" s="55">
        <v>0</v>
      </c>
      <c r="F89" s="55"/>
      <c r="G89" s="55"/>
      <c r="H89" s="55"/>
      <c r="I89" s="55">
        <f t="shared" si="53"/>
        <v>0</v>
      </c>
      <c r="J89" s="55"/>
      <c r="K89" s="55"/>
      <c r="L89" s="55"/>
      <c r="M89" s="1">
        <f t="shared" si="54"/>
        <v>0</v>
      </c>
      <c r="O89" s="55"/>
      <c r="P89" s="55"/>
      <c r="Q89" s="55"/>
      <c r="R89" s="55"/>
      <c r="S89" s="55"/>
      <c r="T89" s="55"/>
      <c r="U89" s="55">
        <f t="shared" si="40"/>
        <v>0</v>
      </c>
      <c r="V89" s="69">
        <f t="shared" si="50"/>
        <v>0</v>
      </c>
      <c r="W89" s="69">
        <f t="shared" si="51"/>
        <v>0</v>
      </c>
      <c r="X89" s="122"/>
      <c r="Z89" s="140" t="e">
        <f t="shared" si="52"/>
        <v>#DIV/0!</v>
      </c>
      <c r="AA89" s="171">
        <f t="shared" si="34"/>
        <v>0</v>
      </c>
      <c r="AB89" s="55"/>
      <c r="AC89" s="223"/>
      <c r="AE89" s="122"/>
      <c r="AH89" s="55">
        <f t="shared" si="35"/>
        <v>0</v>
      </c>
      <c r="AI89" s="230">
        <f t="shared" si="55"/>
        <v>0</v>
      </c>
      <c r="AK89" s="230">
        <f t="shared" si="49"/>
        <v>0</v>
      </c>
      <c r="AN89" s="223"/>
      <c r="AO89" s="223"/>
      <c r="AP89" s="222"/>
      <c r="AR89" s="69">
        <f t="shared" si="45"/>
        <v>0</v>
      </c>
      <c r="AT89" s="65"/>
      <c r="AU89" s="55"/>
      <c r="AV89" s="55"/>
      <c r="AW89" s="430"/>
      <c r="AX89" s="430"/>
      <c r="AY89" s="69">
        <f t="shared" si="27"/>
        <v>0</v>
      </c>
      <c r="AZ89" s="69">
        <f t="shared" si="27"/>
        <v>0</v>
      </c>
      <c r="BA89" s="69">
        <f t="shared" si="41"/>
        <v>0</v>
      </c>
      <c r="BB89" s="501"/>
      <c r="BE89" s="501"/>
      <c r="BF89" s="221"/>
      <c r="BG89" s="517">
        <f t="shared" si="42"/>
        <v>0</v>
      </c>
      <c r="BH89" s="222">
        <f t="shared" si="39"/>
        <v>0</v>
      </c>
      <c r="BI89" s="65">
        <v>0</v>
      </c>
      <c r="BJ89" s="65"/>
      <c r="BK89" s="65">
        <v>44840544</v>
      </c>
      <c r="BL89" s="610"/>
      <c r="BM89" s="55"/>
      <c r="BN89" s="55"/>
      <c r="BO89" s="55"/>
      <c r="BP89" s="55">
        <f t="shared" si="37"/>
        <v>0</v>
      </c>
      <c r="BQ89" s="223"/>
      <c r="BR89" s="55"/>
      <c r="BS89" s="222"/>
      <c r="BT89" s="222"/>
      <c r="BU89" s="866"/>
      <c r="BV89" s="347"/>
      <c r="BW89" s="762"/>
    </row>
    <row r="90" spans="1:75" x14ac:dyDescent="0.25">
      <c r="A90" s="615" t="s">
        <v>65</v>
      </c>
      <c r="B90" s="65" t="s">
        <v>168</v>
      </c>
      <c r="C90" s="65">
        <v>118000000</v>
      </c>
      <c r="D90" s="65">
        <v>34864161</v>
      </c>
      <c r="E90" s="65">
        <v>141907547</v>
      </c>
      <c r="F90" s="65">
        <v>37136697</v>
      </c>
      <c r="G90" s="65">
        <v>76301129</v>
      </c>
      <c r="H90" s="65">
        <v>50044326</v>
      </c>
      <c r="I90" s="65">
        <f t="shared" si="53"/>
        <v>54593810.18181818</v>
      </c>
      <c r="J90" s="65">
        <v>138503206.49606302</v>
      </c>
      <c r="K90" s="65">
        <v>138266986.02362207</v>
      </c>
      <c r="L90" s="65">
        <v>138739427</v>
      </c>
      <c r="M90" s="14">
        <f t="shared" si="54"/>
        <v>254.13032455134541</v>
      </c>
      <c r="N90" s="14"/>
      <c r="O90" s="65">
        <v>296293283</v>
      </c>
      <c r="P90" s="65">
        <v>98000439</v>
      </c>
      <c r="Q90" s="65">
        <v>99218539</v>
      </c>
      <c r="R90" s="65">
        <v>497916074</v>
      </c>
      <c r="S90" s="65">
        <v>290696283</v>
      </c>
      <c r="T90" s="65">
        <v>138529727</v>
      </c>
      <c r="U90" s="65">
        <f>beruházások!C173</f>
        <v>507201244.69999999</v>
      </c>
      <c r="V90" s="69">
        <f>beruházások!F173</f>
        <v>400687873.69999999</v>
      </c>
      <c r="W90" s="69">
        <f>beruházások!H173</f>
        <v>401087873.69999999</v>
      </c>
      <c r="X90" s="121">
        <f t="shared" si="56"/>
        <v>34.572977145726888</v>
      </c>
      <c r="Y90" s="14"/>
      <c r="Z90" s="226">
        <f t="shared" si="52"/>
        <v>2.8953198882720672</v>
      </c>
      <c r="AA90" s="227">
        <f>beruházások!R173</f>
        <v>445630244.69999999</v>
      </c>
      <c r="AB90" s="65">
        <v>89160290</v>
      </c>
      <c r="AC90" s="222">
        <v>211706890</v>
      </c>
      <c r="AD90" s="65">
        <v>271691664</v>
      </c>
      <c r="AE90" s="121"/>
      <c r="AF90" s="65">
        <v>641666669</v>
      </c>
      <c r="AG90" s="65">
        <v>403587084</v>
      </c>
      <c r="AH90" s="65">
        <f t="shared" si="35"/>
        <v>484304500.79999995</v>
      </c>
      <c r="AI90" s="65">
        <f>beruházások!X173/1.27</f>
        <v>610314960.6299212</v>
      </c>
      <c r="AJ90" s="65"/>
      <c r="AK90" s="65">
        <f>beruházások!Z173/1.27</f>
        <v>499861294.37795275</v>
      </c>
      <c r="AL90" s="65"/>
      <c r="AM90" s="65">
        <v>529548782</v>
      </c>
      <c r="AN90" s="222"/>
      <c r="AO90" s="222"/>
      <c r="AP90" s="222">
        <v>617834347</v>
      </c>
      <c r="AQ90" s="65">
        <v>461564140</v>
      </c>
      <c r="AR90" s="69">
        <f t="shared" si="45"/>
        <v>156270207</v>
      </c>
      <c r="AS90" s="415">
        <f t="shared" si="46"/>
        <v>74.70677896772871</v>
      </c>
      <c r="AT90" s="65">
        <v>512536654</v>
      </c>
      <c r="AU90" s="65">
        <f t="shared" si="47"/>
        <v>105297693</v>
      </c>
      <c r="AV90" s="65">
        <f t="shared" si="48"/>
        <v>17.043029982274522</v>
      </c>
      <c r="AW90" s="430">
        <v>508668381</v>
      </c>
      <c r="AX90" s="430">
        <v>233671466</v>
      </c>
      <c r="AY90" s="69">
        <f>beruházások!AD173/1.27</f>
        <v>207136033.07086614</v>
      </c>
      <c r="AZ90" s="69">
        <f t="shared" si="27"/>
        <v>207136033.07086614</v>
      </c>
      <c r="BA90" s="69">
        <f t="shared" si="41"/>
        <v>207136033.07086614</v>
      </c>
      <c r="BB90" s="65">
        <v>213435246</v>
      </c>
      <c r="BC90" s="65">
        <v>201323895</v>
      </c>
      <c r="BD90" s="65">
        <v>107387257</v>
      </c>
      <c r="BE90" s="65">
        <v>117234737</v>
      </c>
      <c r="BF90" s="65">
        <v>121719213</v>
      </c>
      <c r="BG90" s="52">
        <f t="shared" si="42"/>
        <v>146063055.60000002</v>
      </c>
      <c r="BH90" s="222">
        <v>149606299</v>
      </c>
      <c r="BI90" s="579">
        <f>72365702+234240030</f>
        <v>306605732</v>
      </c>
      <c r="BJ90" s="65">
        <v>30228735</v>
      </c>
      <c r="BK90" s="65"/>
      <c r="BL90" s="610"/>
      <c r="BM90" s="65">
        <v>284841669</v>
      </c>
      <c r="BN90" s="65">
        <v>284841669</v>
      </c>
      <c r="BO90" s="55">
        <v>28517870</v>
      </c>
      <c r="BP90" s="55">
        <f t="shared" si="37"/>
        <v>34221444</v>
      </c>
      <c r="BQ90" s="223">
        <v>984677089</v>
      </c>
      <c r="BR90" s="65">
        <v>767903314</v>
      </c>
      <c r="BS90" s="222">
        <v>753240223</v>
      </c>
      <c r="BT90" s="245">
        <f>beruházások!AI173/1.27</f>
        <v>768515813.38582671</v>
      </c>
      <c r="BU90" s="866"/>
      <c r="BV90" s="347"/>
      <c r="BW90" s="760"/>
    </row>
    <row r="91" spans="1:75" x14ac:dyDescent="0.25">
      <c r="A91" s="54" t="s">
        <v>67</v>
      </c>
      <c r="B91" s="65" t="s">
        <v>169</v>
      </c>
      <c r="C91" s="65">
        <v>0</v>
      </c>
      <c r="D91" s="65">
        <v>0</v>
      </c>
      <c r="E91" s="65">
        <v>0</v>
      </c>
      <c r="F91" s="65">
        <v>785012</v>
      </c>
      <c r="G91" s="65">
        <v>1285012</v>
      </c>
      <c r="H91" s="65">
        <v>971012</v>
      </c>
      <c r="I91" s="65">
        <f t="shared" si="53"/>
        <v>1059285.8181818181</v>
      </c>
      <c r="J91" s="65"/>
      <c r="K91" s="65"/>
      <c r="L91" s="65"/>
      <c r="M91" s="14">
        <f t="shared" si="54"/>
        <v>0</v>
      </c>
      <c r="N91" s="14"/>
      <c r="O91" s="65"/>
      <c r="P91" s="65"/>
      <c r="Q91" s="65"/>
      <c r="R91" s="65"/>
      <c r="S91" s="65"/>
      <c r="T91" s="65"/>
      <c r="U91" s="65">
        <f t="shared" si="40"/>
        <v>0</v>
      </c>
      <c r="V91" s="69">
        <f t="shared" si="50"/>
        <v>0</v>
      </c>
      <c r="W91" s="69">
        <f t="shared" si="51"/>
        <v>0</v>
      </c>
      <c r="X91" s="121"/>
      <c r="Y91" s="14"/>
      <c r="Z91" s="226" t="e">
        <f t="shared" si="52"/>
        <v>#DIV/0!</v>
      </c>
      <c r="AA91" s="227">
        <f t="shared" si="34"/>
        <v>0</v>
      </c>
      <c r="AB91" s="65"/>
      <c r="AC91" s="222"/>
      <c r="AD91" s="65"/>
      <c r="AE91" s="121"/>
      <c r="AF91" s="65"/>
      <c r="AG91" s="65"/>
      <c r="AH91" s="65">
        <f t="shared" si="35"/>
        <v>0</v>
      </c>
      <c r="AI91" s="65">
        <f t="shared" si="55"/>
        <v>0</v>
      </c>
      <c r="AJ91" s="65"/>
      <c r="AK91" s="65">
        <f>AI91</f>
        <v>0</v>
      </c>
      <c r="AL91" s="65"/>
      <c r="AM91" s="65"/>
      <c r="AN91" s="222"/>
      <c r="AO91" s="222"/>
      <c r="AP91" s="222"/>
      <c r="AR91" s="69">
        <f t="shared" si="45"/>
        <v>0</v>
      </c>
      <c r="AT91" s="65"/>
      <c r="AU91" s="65"/>
      <c r="AV91" s="65"/>
      <c r="AW91" s="430"/>
      <c r="AX91" s="430"/>
      <c r="AY91" s="69">
        <f t="shared" si="27"/>
        <v>0</v>
      </c>
      <c r="AZ91" s="69">
        <f t="shared" si="27"/>
        <v>0</v>
      </c>
      <c r="BA91" s="69">
        <f t="shared" si="41"/>
        <v>0</v>
      </c>
      <c r="BB91" s="65"/>
      <c r="BC91" s="65"/>
      <c r="BD91" s="65"/>
      <c r="BE91" s="65"/>
      <c r="BF91" s="65"/>
      <c r="BG91" s="52">
        <f t="shared" si="42"/>
        <v>0</v>
      </c>
      <c r="BH91" s="222">
        <v>0</v>
      </c>
      <c r="BI91" s="65">
        <v>395083</v>
      </c>
      <c r="BJ91" s="65"/>
      <c r="BK91" s="65">
        <v>395083</v>
      </c>
      <c r="BL91" s="610"/>
      <c r="BM91" s="55"/>
      <c r="BN91" s="55"/>
      <c r="BO91" s="55"/>
      <c r="BP91" s="55">
        <f t="shared" si="37"/>
        <v>0</v>
      </c>
      <c r="BQ91" s="223"/>
      <c r="BR91" s="55"/>
      <c r="BS91" s="223"/>
      <c r="BT91" s="223"/>
      <c r="BU91" s="866"/>
      <c r="BV91" s="347">
        <v>16200000</v>
      </c>
      <c r="BW91" s="760"/>
    </row>
    <row r="92" spans="1:75" x14ac:dyDescent="0.25">
      <c r="A92" s="54" t="s">
        <v>68</v>
      </c>
      <c r="B92" s="65" t="s">
        <v>170</v>
      </c>
      <c r="C92" s="65">
        <v>0</v>
      </c>
      <c r="D92" s="65">
        <v>28560</v>
      </c>
      <c r="E92" s="65">
        <v>508000</v>
      </c>
      <c r="F92" s="65">
        <v>5653292</v>
      </c>
      <c r="G92" s="65">
        <v>7068806</v>
      </c>
      <c r="H92" s="65">
        <v>6878292</v>
      </c>
      <c r="I92" s="65">
        <f t="shared" si="53"/>
        <v>7503591.2727272725</v>
      </c>
      <c r="J92" s="65"/>
      <c r="K92" s="65"/>
      <c r="L92" s="65"/>
      <c r="M92" s="14">
        <f t="shared" si="54"/>
        <v>0</v>
      </c>
      <c r="N92" s="14"/>
      <c r="O92" s="65">
        <v>21215000</v>
      </c>
      <c r="P92" s="65">
        <v>20571294</v>
      </c>
      <c r="Q92" s="65">
        <v>20589194</v>
      </c>
      <c r="R92" s="65"/>
      <c r="S92" s="65">
        <v>21618000</v>
      </c>
      <c r="T92" s="65">
        <v>21406320</v>
      </c>
      <c r="U92" s="65">
        <f t="shared" si="40"/>
        <v>0</v>
      </c>
      <c r="V92" s="69">
        <f t="shared" si="50"/>
        <v>0</v>
      </c>
      <c r="W92" s="69">
        <f t="shared" si="51"/>
        <v>0</v>
      </c>
      <c r="X92" s="121"/>
      <c r="Y92" s="14"/>
      <c r="Z92" s="226">
        <f t="shared" si="52"/>
        <v>0</v>
      </c>
      <c r="AA92" s="227">
        <f t="shared" si="34"/>
        <v>0</v>
      </c>
      <c r="AB92" s="65">
        <v>3233765</v>
      </c>
      <c r="AC92" s="222">
        <v>5021315</v>
      </c>
      <c r="AD92" s="65">
        <v>5197315</v>
      </c>
      <c r="AE92" s="121"/>
      <c r="AF92" s="65">
        <v>12744010</v>
      </c>
      <c r="AG92" s="65">
        <v>11076876</v>
      </c>
      <c r="AH92" s="65">
        <f t="shared" si="35"/>
        <v>13292251.200000001</v>
      </c>
      <c r="AI92" s="65"/>
      <c r="AJ92" s="65"/>
      <c r="AK92" s="65">
        <f>AI92</f>
        <v>0</v>
      </c>
      <c r="AL92" s="65"/>
      <c r="AM92" s="65">
        <v>29877361</v>
      </c>
      <c r="AN92" s="222"/>
      <c r="AO92" s="222"/>
      <c r="AP92" s="222">
        <v>9950024</v>
      </c>
      <c r="AQ92" s="65">
        <v>9832613</v>
      </c>
      <c r="AR92" s="69">
        <f t="shared" si="45"/>
        <v>117411</v>
      </c>
      <c r="AS92" s="415">
        <f t="shared" si="46"/>
        <v>98.81999279599728</v>
      </c>
      <c r="AT92" s="65">
        <v>9832613</v>
      </c>
      <c r="AU92" s="65">
        <f t="shared" si="47"/>
        <v>117411</v>
      </c>
      <c r="AV92" s="65">
        <f t="shared" si="48"/>
        <v>1.1800072040027241</v>
      </c>
      <c r="AW92" s="430"/>
      <c r="AX92" s="430"/>
      <c r="AY92" s="69">
        <f t="shared" si="27"/>
        <v>0</v>
      </c>
      <c r="AZ92" s="69">
        <f t="shared" si="27"/>
        <v>0</v>
      </c>
      <c r="BA92" s="69">
        <f t="shared" si="41"/>
        <v>0</v>
      </c>
      <c r="BB92" s="65">
        <v>0</v>
      </c>
      <c r="BC92" s="65">
        <v>9818923</v>
      </c>
      <c r="BD92" s="65">
        <v>9818922</v>
      </c>
      <c r="BE92" s="65">
        <v>10842467</v>
      </c>
      <c r="BF92" s="65">
        <v>11215721</v>
      </c>
      <c r="BG92" s="52">
        <f t="shared" si="42"/>
        <v>13458865.200000001</v>
      </c>
      <c r="BH92" s="222">
        <v>0</v>
      </c>
      <c r="BI92" s="65">
        <v>2728819</v>
      </c>
      <c r="BJ92" s="65">
        <v>2219070</v>
      </c>
      <c r="BK92" s="65">
        <v>2470070</v>
      </c>
      <c r="BL92" s="610"/>
      <c r="BM92" s="55"/>
      <c r="BN92" s="55">
        <v>0</v>
      </c>
      <c r="BO92" s="55">
        <v>4162132</v>
      </c>
      <c r="BP92" s="55">
        <f t="shared" si="37"/>
        <v>4994558.4000000004</v>
      </c>
      <c r="BQ92" s="223"/>
      <c r="BR92" s="55"/>
      <c r="BS92" s="223"/>
      <c r="BT92" s="223"/>
      <c r="BU92" s="866"/>
      <c r="BV92" s="347">
        <v>820000</v>
      </c>
      <c r="BW92" s="760"/>
    </row>
    <row r="93" spans="1:75" x14ac:dyDescent="0.25">
      <c r="A93" s="54" t="s">
        <v>69</v>
      </c>
      <c r="B93" s="65" t="s">
        <v>171</v>
      </c>
      <c r="C93" s="65">
        <v>0</v>
      </c>
      <c r="D93" s="65">
        <v>6357</v>
      </c>
      <c r="E93" s="65">
        <v>0</v>
      </c>
      <c r="F93" s="65">
        <v>9469657</v>
      </c>
      <c r="G93" s="65">
        <v>13785551</v>
      </c>
      <c r="H93" s="65">
        <v>12925395</v>
      </c>
      <c r="I93" s="65">
        <f t="shared" si="53"/>
        <v>14100430.90909091</v>
      </c>
      <c r="J93" s="65">
        <v>37395865.753937021</v>
      </c>
      <c r="K93" s="65">
        <v>37332086.226377957</v>
      </c>
      <c r="L93" s="65">
        <v>37459645</v>
      </c>
      <c r="M93" s="14">
        <f t="shared" si="54"/>
        <v>265.66312222308613</v>
      </c>
      <c r="N93" s="14"/>
      <c r="O93" s="65">
        <v>37459645</v>
      </c>
      <c r="P93" s="65">
        <v>27045334</v>
      </c>
      <c r="Q93" s="65">
        <v>27239788</v>
      </c>
      <c r="R93" s="65"/>
      <c r="S93" s="65">
        <v>37459645</v>
      </c>
      <c r="T93" s="65">
        <v>33027995</v>
      </c>
      <c r="U93" s="65">
        <f t="shared" si="40"/>
        <v>0</v>
      </c>
      <c r="V93" s="69">
        <f t="shared" si="50"/>
        <v>0</v>
      </c>
      <c r="W93" s="69">
        <f t="shared" si="51"/>
        <v>0</v>
      </c>
      <c r="X93" s="121"/>
      <c r="Y93" s="14"/>
      <c r="Z93" s="226">
        <f t="shared" si="52"/>
        <v>0</v>
      </c>
      <c r="AA93" s="227">
        <f t="shared" si="34"/>
        <v>0</v>
      </c>
      <c r="AB93" s="65">
        <v>14219720</v>
      </c>
      <c r="AC93" s="222">
        <v>12799524</v>
      </c>
      <c r="AD93" s="65">
        <v>18761708</v>
      </c>
      <c r="AE93" s="121"/>
      <c r="AF93" s="65">
        <v>94740288</v>
      </c>
      <c r="AG93" s="65">
        <v>25314538</v>
      </c>
      <c r="AH93" s="65">
        <f t="shared" si="35"/>
        <v>30377445.599999998</v>
      </c>
      <c r="AI93" s="65">
        <f>AI90*0.27</f>
        <v>164785039.37007874</v>
      </c>
      <c r="AJ93" s="65"/>
      <c r="AK93" s="65">
        <f>AK90*0.27</f>
        <v>134962549.48204726</v>
      </c>
      <c r="AL93" s="65"/>
      <c r="AM93" s="65">
        <v>39444840</v>
      </c>
      <c r="AN93" s="222"/>
      <c r="AO93" s="222"/>
      <c r="AP93" s="222">
        <v>66340463</v>
      </c>
      <c r="AQ93" s="65">
        <v>59338696</v>
      </c>
      <c r="AR93" s="69">
        <f t="shared" si="45"/>
        <v>7001767</v>
      </c>
      <c r="AS93" s="415">
        <f t="shared" si="46"/>
        <v>89.445706762703779</v>
      </c>
      <c r="AT93" s="65">
        <v>62496782</v>
      </c>
      <c r="AU93" s="65">
        <f t="shared" si="47"/>
        <v>3843681</v>
      </c>
      <c r="AV93" s="65">
        <f t="shared" si="48"/>
        <v>5.793871230594215</v>
      </c>
      <c r="AW93" s="430">
        <v>137340463</v>
      </c>
      <c r="AX93" s="430">
        <v>63000000</v>
      </c>
      <c r="AY93" s="69">
        <f>AY90*0.27</f>
        <v>55926728.929133862</v>
      </c>
      <c r="AZ93" s="69">
        <f t="shared" si="27"/>
        <v>55926728.929133862</v>
      </c>
      <c r="BA93" s="69">
        <f t="shared" si="41"/>
        <v>55926728.929133862</v>
      </c>
      <c r="BB93" s="65">
        <v>57627516</v>
      </c>
      <c r="BC93" s="65">
        <v>46627516</v>
      </c>
      <c r="BD93" s="65">
        <v>13195038</v>
      </c>
      <c r="BE93" s="65">
        <v>16130216</v>
      </c>
      <c r="BF93" s="65">
        <v>16811964</v>
      </c>
      <c r="BG93" s="52">
        <f t="shared" si="42"/>
        <v>20174356.799999997</v>
      </c>
      <c r="BH93" s="222">
        <v>40393701</v>
      </c>
      <c r="BI93" s="65">
        <v>88815594</v>
      </c>
      <c r="BJ93" s="65">
        <v>8639408</v>
      </c>
      <c r="BK93" s="65">
        <v>12759038</v>
      </c>
      <c r="BL93" s="610"/>
      <c r="BM93" s="55">
        <f>BM90*0.27</f>
        <v>76907250.63000001</v>
      </c>
      <c r="BN93" s="55">
        <f>BN90*0.27</f>
        <v>76907250.63000001</v>
      </c>
      <c r="BO93" s="55">
        <v>7969141</v>
      </c>
      <c r="BP93" s="55">
        <f t="shared" si="37"/>
        <v>9562969.1999999993</v>
      </c>
      <c r="BQ93" s="223"/>
      <c r="BR93" s="55">
        <v>207333895</v>
      </c>
      <c r="BS93" s="223">
        <v>203374860</v>
      </c>
      <c r="BT93" s="245">
        <f>BT90*0.27</f>
        <v>207499269.61417323</v>
      </c>
      <c r="BU93" s="866"/>
      <c r="BV93" s="347">
        <v>4545400</v>
      </c>
      <c r="BW93" s="760"/>
    </row>
    <row r="94" spans="1:75" x14ac:dyDescent="0.25">
      <c r="A94" s="54" t="s">
        <v>70</v>
      </c>
      <c r="B94" s="55" t="s">
        <v>172</v>
      </c>
      <c r="C94" s="55">
        <v>0</v>
      </c>
      <c r="D94" s="55">
        <v>0</v>
      </c>
      <c r="E94" s="55">
        <v>0</v>
      </c>
      <c r="F94" s="55">
        <v>26294030</v>
      </c>
      <c r="G94" s="55">
        <v>26294030</v>
      </c>
      <c r="H94" s="55">
        <v>26294030</v>
      </c>
      <c r="I94" s="55">
        <f t="shared" si="53"/>
        <v>28684396.363636363</v>
      </c>
      <c r="J94" s="55">
        <v>0</v>
      </c>
      <c r="K94" s="55">
        <v>0</v>
      </c>
      <c r="L94" s="64">
        <f t="shared" si="21"/>
        <v>0</v>
      </c>
      <c r="M94" s="1">
        <f t="shared" si="54"/>
        <v>0</v>
      </c>
      <c r="O94" s="55"/>
      <c r="P94" s="55"/>
      <c r="Q94" s="55"/>
      <c r="R94" s="55"/>
      <c r="S94" s="55"/>
      <c r="T94" s="55"/>
      <c r="U94" s="55">
        <f t="shared" si="40"/>
        <v>0</v>
      </c>
      <c r="V94" s="69">
        <f t="shared" si="50"/>
        <v>0</v>
      </c>
      <c r="W94" s="69">
        <f t="shared" si="51"/>
        <v>0</v>
      </c>
      <c r="X94" s="122"/>
      <c r="Z94" s="140" t="e">
        <f t="shared" si="52"/>
        <v>#DIV/0!</v>
      </c>
      <c r="AA94" s="171">
        <f t="shared" si="34"/>
        <v>0</v>
      </c>
      <c r="AB94" s="55"/>
      <c r="AC94" s="223"/>
      <c r="AE94" s="122"/>
      <c r="AH94" s="55">
        <f t="shared" si="35"/>
        <v>0</v>
      </c>
      <c r="AI94" s="230">
        <f t="shared" si="55"/>
        <v>0</v>
      </c>
      <c r="AK94" s="230">
        <f>AI94</f>
        <v>0</v>
      </c>
      <c r="AN94" s="223"/>
      <c r="AO94" s="223"/>
      <c r="AP94" s="222"/>
      <c r="AR94" s="69">
        <f t="shared" si="45"/>
        <v>0</v>
      </c>
      <c r="AT94" s="65"/>
      <c r="AU94" s="55"/>
      <c r="AV94" s="55"/>
      <c r="AW94" s="430"/>
      <c r="AX94" s="430"/>
      <c r="AY94" s="69">
        <f t="shared" si="27"/>
        <v>0</v>
      </c>
      <c r="AZ94" s="69">
        <f t="shared" si="27"/>
        <v>0</v>
      </c>
      <c r="BA94" s="69">
        <f t="shared" si="41"/>
        <v>0</v>
      </c>
      <c r="BB94" s="501"/>
      <c r="BE94" s="501"/>
      <c r="BF94" s="221"/>
      <c r="BG94" s="517">
        <f t="shared" si="42"/>
        <v>0</v>
      </c>
      <c r="BH94" s="222"/>
      <c r="BI94" s="65">
        <v>15767529</v>
      </c>
      <c r="BJ94" s="65">
        <v>15295381</v>
      </c>
      <c r="BK94" s="65">
        <v>18061834</v>
      </c>
      <c r="BL94" s="610"/>
      <c r="BM94" s="55"/>
      <c r="BN94" s="55"/>
      <c r="BO94" s="55">
        <v>30809634</v>
      </c>
      <c r="BP94" s="55">
        <f t="shared" si="37"/>
        <v>36971560.799999997</v>
      </c>
      <c r="BQ94" s="223"/>
      <c r="BR94" s="55"/>
      <c r="BS94" s="223"/>
      <c r="BT94" s="223"/>
      <c r="BU94" s="866"/>
      <c r="BV94" s="347">
        <v>3300000</v>
      </c>
      <c r="BW94" s="762"/>
    </row>
    <row r="95" spans="1:75" x14ac:dyDescent="0.25">
      <c r="A95" s="54" t="s">
        <v>239</v>
      </c>
      <c r="B95" s="55" t="s">
        <v>240</v>
      </c>
      <c r="C95" s="55">
        <v>0</v>
      </c>
      <c r="D95" s="55"/>
      <c r="E95" s="55"/>
      <c r="F95" s="55"/>
      <c r="G95" s="55"/>
      <c r="H95" s="55"/>
      <c r="I95" s="55">
        <f t="shared" si="53"/>
        <v>0</v>
      </c>
      <c r="J95" s="55"/>
      <c r="K95" s="55"/>
      <c r="L95" s="64"/>
      <c r="M95" s="1">
        <f t="shared" si="54"/>
        <v>0</v>
      </c>
      <c r="O95" s="55"/>
      <c r="P95" s="55"/>
      <c r="Q95" s="55"/>
      <c r="R95" s="55"/>
      <c r="S95" s="55"/>
      <c r="T95" s="55"/>
      <c r="U95" s="55">
        <f t="shared" si="40"/>
        <v>0</v>
      </c>
      <c r="V95" s="69">
        <f t="shared" si="50"/>
        <v>0</v>
      </c>
      <c r="W95" s="69">
        <f t="shared" si="51"/>
        <v>0</v>
      </c>
      <c r="X95" s="122"/>
      <c r="Z95" s="140" t="e">
        <f t="shared" si="52"/>
        <v>#DIV/0!</v>
      </c>
      <c r="AA95" s="171">
        <f t="shared" si="34"/>
        <v>0</v>
      </c>
      <c r="AB95" s="55"/>
      <c r="AC95" s="223"/>
      <c r="AE95" s="122"/>
      <c r="AH95" s="55">
        <f t="shared" si="35"/>
        <v>0</v>
      </c>
      <c r="AI95" s="230">
        <f t="shared" si="55"/>
        <v>0</v>
      </c>
      <c r="AK95" s="230">
        <f>AI95</f>
        <v>0</v>
      </c>
      <c r="AN95" s="223"/>
      <c r="AO95" s="223"/>
      <c r="AP95" s="222"/>
      <c r="AR95" s="69">
        <f t="shared" si="45"/>
        <v>0</v>
      </c>
      <c r="AT95" s="65"/>
      <c r="AU95" s="55"/>
      <c r="AV95" s="55"/>
      <c r="AW95" s="430"/>
      <c r="AX95" s="430"/>
      <c r="AY95" s="69">
        <f t="shared" si="27"/>
        <v>0</v>
      </c>
      <c r="AZ95" s="69">
        <f t="shared" si="27"/>
        <v>0</v>
      </c>
      <c r="BA95" s="69">
        <f t="shared" si="41"/>
        <v>0</v>
      </c>
      <c r="BB95" s="501"/>
      <c r="BE95" s="501"/>
      <c r="BF95" s="221"/>
      <c r="BG95" s="517">
        <f t="shared" si="42"/>
        <v>0</v>
      </c>
      <c r="BH95" s="222"/>
      <c r="BI95" s="65">
        <v>11000000</v>
      </c>
      <c r="BJ95" s="65">
        <v>2338582</v>
      </c>
      <c r="BK95" s="65">
        <v>2338582</v>
      </c>
      <c r="BL95" s="610"/>
      <c r="BM95" s="55"/>
      <c r="BN95" s="55"/>
      <c r="BO95" s="55">
        <v>5957720</v>
      </c>
      <c r="BP95" s="55">
        <f t="shared" si="37"/>
        <v>7149264</v>
      </c>
      <c r="BQ95" s="223"/>
      <c r="BR95" s="55"/>
      <c r="BS95" s="223"/>
      <c r="BT95" s="223"/>
      <c r="BU95" s="866"/>
      <c r="BV95" s="347">
        <v>891000</v>
      </c>
    </row>
    <row r="96" spans="1:75" x14ac:dyDescent="0.25">
      <c r="A96" s="54" t="s">
        <v>71</v>
      </c>
      <c r="B96" s="55" t="s">
        <v>173</v>
      </c>
      <c r="C96" s="55">
        <v>0</v>
      </c>
      <c r="D96" s="55">
        <v>0</v>
      </c>
      <c r="E96" s="55">
        <v>0</v>
      </c>
      <c r="F96" s="55">
        <f>5453467+13644846</f>
        <v>19098313</v>
      </c>
      <c r="G96" s="55">
        <v>5453467</v>
      </c>
      <c r="H96" s="55">
        <v>5453467</v>
      </c>
      <c r="I96" s="55">
        <f t="shared" si="53"/>
        <v>5949236.7272727275</v>
      </c>
      <c r="J96" s="55">
        <v>0</v>
      </c>
      <c r="K96" s="55">
        <v>0</v>
      </c>
      <c r="L96" s="64">
        <f t="shared" ref="L96" si="59">E96</f>
        <v>0</v>
      </c>
      <c r="M96" s="1">
        <f t="shared" si="54"/>
        <v>0</v>
      </c>
      <c r="O96" s="55"/>
      <c r="P96" s="55"/>
      <c r="Q96" s="55"/>
      <c r="R96" s="55"/>
      <c r="S96" s="55"/>
      <c r="T96" s="55"/>
      <c r="U96" s="55">
        <f t="shared" si="40"/>
        <v>0</v>
      </c>
      <c r="V96" s="69">
        <f t="shared" si="50"/>
        <v>0</v>
      </c>
      <c r="W96" s="69">
        <f t="shared" si="51"/>
        <v>0</v>
      </c>
      <c r="X96" s="122"/>
      <c r="Z96" s="140" t="e">
        <f t="shared" si="52"/>
        <v>#DIV/0!</v>
      </c>
      <c r="AA96" s="171">
        <f t="shared" si="34"/>
        <v>0</v>
      </c>
      <c r="AB96" s="55"/>
      <c r="AC96" s="223"/>
      <c r="AE96" s="122"/>
      <c r="AH96" s="55">
        <f t="shared" si="35"/>
        <v>0</v>
      </c>
      <c r="AI96" s="230">
        <f t="shared" si="55"/>
        <v>0</v>
      </c>
      <c r="AK96" s="230">
        <f>AI96</f>
        <v>0</v>
      </c>
      <c r="AN96" s="223"/>
      <c r="AO96" s="223"/>
      <c r="AP96" s="222"/>
      <c r="AR96" s="69">
        <f t="shared" si="45"/>
        <v>0</v>
      </c>
      <c r="AT96" s="65"/>
      <c r="AU96" s="55"/>
      <c r="AV96" s="55"/>
      <c r="AW96" s="430"/>
      <c r="AX96" s="430"/>
      <c r="AY96" s="69">
        <f t="shared" si="27"/>
        <v>0</v>
      </c>
      <c r="AZ96" s="69">
        <f t="shared" si="27"/>
        <v>0</v>
      </c>
      <c r="BA96" s="69">
        <f t="shared" si="41"/>
        <v>0</v>
      </c>
      <c r="BB96" s="501"/>
      <c r="BE96" s="501"/>
      <c r="BF96" s="221"/>
      <c r="BG96" s="517">
        <f t="shared" si="42"/>
        <v>0</v>
      </c>
      <c r="BH96" s="222"/>
      <c r="BI96" s="65">
        <v>6379360</v>
      </c>
      <c r="BJ96" s="65">
        <v>3868969</v>
      </c>
      <c r="BK96" s="65">
        <v>4514661</v>
      </c>
      <c r="BL96" s="610"/>
      <c r="BM96" s="55"/>
      <c r="BN96" s="55"/>
      <c r="BO96" s="55"/>
      <c r="BP96" s="55">
        <f t="shared" si="37"/>
        <v>0</v>
      </c>
      <c r="BQ96" s="223"/>
      <c r="BR96" s="55"/>
      <c r="BS96" s="223"/>
      <c r="BT96" s="223"/>
      <c r="BU96" s="866"/>
      <c r="BV96" s="347"/>
    </row>
    <row r="97" spans="1:74" x14ac:dyDescent="0.25">
      <c r="A97" s="54" t="s">
        <v>707</v>
      </c>
      <c r="B97" s="55" t="s">
        <v>708</v>
      </c>
      <c r="C97" s="55"/>
      <c r="D97" s="55"/>
      <c r="E97" s="55"/>
      <c r="F97" s="55"/>
      <c r="G97" s="55"/>
      <c r="H97" s="55"/>
      <c r="I97" s="55"/>
      <c r="J97" s="55"/>
      <c r="K97" s="55"/>
      <c r="L97" s="64"/>
      <c r="O97" s="55"/>
      <c r="P97" s="55"/>
      <c r="Q97" s="55"/>
      <c r="R97" s="55"/>
      <c r="S97" s="55"/>
      <c r="T97" s="55"/>
      <c r="U97" s="55"/>
      <c r="V97" s="69"/>
      <c r="W97" s="69"/>
      <c r="X97" s="122"/>
      <c r="Z97" s="140"/>
      <c r="AA97" s="171"/>
      <c r="AB97" s="55"/>
      <c r="AC97" s="223"/>
      <c r="AE97" s="122"/>
      <c r="AN97" s="223"/>
      <c r="AO97" s="223"/>
      <c r="AP97" s="222"/>
      <c r="AR97" s="69"/>
      <c r="AT97" s="65"/>
      <c r="AU97" s="55"/>
      <c r="AV97" s="55"/>
      <c r="AW97" s="430"/>
      <c r="AX97" s="430"/>
      <c r="AY97" s="69"/>
      <c r="AZ97" s="69"/>
      <c r="BA97" s="69"/>
      <c r="BB97" s="501"/>
      <c r="BE97" s="501"/>
      <c r="BF97" s="221"/>
      <c r="BG97" s="517"/>
      <c r="BH97" s="222"/>
      <c r="BI97" s="65"/>
      <c r="BJ97" s="65"/>
      <c r="BK97" s="65"/>
      <c r="BL97" s="610"/>
      <c r="BM97" s="55">
        <v>0</v>
      </c>
      <c r="BN97" s="55">
        <v>0</v>
      </c>
      <c r="BO97" s="55">
        <v>214597</v>
      </c>
      <c r="BP97" s="55">
        <f t="shared" si="37"/>
        <v>257516.40000000002</v>
      </c>
      <c r="BQ97" s="223"/>
      <c r="BR97" s="55"/>
      <c r="BS97" s="223"/>
      <c r="BT97" s="223"/>
      <c r="BU97" s="866"/>
      <c r="BV97" s="347"/>
    </row>
    <row r="98" spans="1:74" x14ac:dyDescent="0.25">
      <c r="A98" s="54" t="s">
        <v>263</v>
      </c>
      <c r="B98" s="55" t="s">
        <v>264</v>
      </c>
      <c r="C98" s="55">
        <v>0</v>
      </c>
      <c r="D98" s="55"/>
      <c r="E98" s="55"/>
      <c r="F98" s="55"/>
      <c r="G98" s="55">
        <v>14497777</v>
      </c>
      <c r="H98" s="55">
        <v>14086346</v>
      </c>
      <c r="I98" s="55">
        <f t="shared" si="53"/>
        <v>15366922.90909091</v>
      </c>
      <c r="J98" s="55"/>
      <c r="K98" s="55"/>
      <c r="L98" s="55"/>
      <c r="M98" s="1">
        <f t="shared" si="54"/>
        <v>0</v>
      </c>
      <c r="O98" s="55">
        <v>228000</v>
      </c>
      <c r="P98" s="55"/>
      <c r="Q98" s="55"/>
      <c r="R98" s="55"/>
      <c r="S98" s="55">
        <v>5422000</v>
      </c>
      <c r="T98" s="55">
        <v>5194000</v>
      </c>
      <c r="U98" s="55">
        <f t="shared" si="40"/>
        <v>0</v>
      </c>
      <c r="V98" s="69">
        <f t="shared" si="50"/>
        <v>0</v>
      </c>
      <c r="W98" s="69">
        <f t="shared" si="51"/>
        <v>0</v>
      </c>
      <c r="X98" s="122"/>
      <c r="Z98" s="140">
        <f t="shared" si="52"/>
        <v>0</v>
      </c>
      <c r="AA98" s="171">
        <f t="shared" si="34"/>
        <v>0</v>
      </c>
      <c r="AB98" s="55">
        <v>0</v>
      </c>
      <c r="AC98" s="223">
        <v>0</v>
      </c>
      <c r="AE98" s="122"/>
      <c r="AF98" s="55">
        <v>227711</v>
      </c>
      <c r="AH98" s="55">
        <f t="shared" si="35"/>
        <v>0</v>
      </c>
      <c r="AI98" s="230">
        <f t="shared" si="55"/>
        <v>0</v>
      </c>
      <c r="AK98" s="230">
        <f>AI98</f>
        <v>0</v>
      </c>
      <c r="AN98" s="223"/>
      <c r="AO98" s="223"/>
      <c r="AP98" s="222"/>
      <c r="AR98" s="69">
        <f t="shared" si="45"/>
        <v>0</v>
      </c>
      <c r="AT98" s="65"/>
      <c r="AU98" s="55"/>
      <c r="AV98" s="55"/>
      <c r="AW98" s="430"/>
      <c r="AX98" s="430"/>
      <c r="AY98" s="69">
        <f t="shared" si="27"/>
        <v>0</v>
      </c>
      <c r="AZ98" s="69">
        <f t="shared" si="27"/>
        <v>0</v>
      </c>
      <c r="BA98" s="69">
        <f t="shared" si="41"/>
        <v>0</v>
      </c>
      <c r="BB98" s="501"/>
      <c r="BC98" s="501">
        <v>227711</v>
      </c>
      <c r="BD98" s="501">
        <v>0</v>
      </c>
      <c r="BE98" s="501"/>
      <c r="BF98" s="221"/>
      <c r="BG98" s="517">
        <f t="shared" si="42"/>
        <v>0</v>
      </c>
      <c r="BH98" s="222"/>
      <c r="BI98" s="65">
        <v>17458911</v>
      </c>
      <c r="BJ98" s="65">
        <v>17231200</v>
      </c>
      <c r="BK98" s="65">
        <v>17231200</v>
      </c>
      <c r="BL98" s="258">
        <f t="shared" si="43"/>
        <v>20677440</v>
      </c>
      <c r="BM98" s="55"/>
      <c r="BN98" s="55"/>
      <c r="BO98" s="55"/>
      <c r="BP98" s="55">
        <f t="shared" si="37"/>
        <v>0</v>
      </c>
      <c r="BQ98" s="223"/>
      <c r="BR98" s="55"/>
      <c r="BS98" s="223"/>
      <c r="BT98" s="223"/>
      <c r="BU98" s="866"/>
      <c r="BV98" s="347"/>
    </row>
    <row r="99" spans="1:74" x14ac:dyDescent="0.25">
      <c r="A99" s="613" t="s">
        <v>665</v>
      </c>
      <c r="B99" s="55" t="s">
        <v>666</v>
      </c>
      <c r="C99" s="55"/>
      <c r="D99" s="55"/>
      <c r="E99" s="55"/>
      <c r="F99" s="55"/>
      <c r="G99" s="55"/>
      <c r="H99" s="55"/>
      <c r="I99" s="55"/>
      <c r="J99" s="55"/>
      <c r="K99" s="55"/>
      <c r="L99" s="55"/>
      <c r="O99" s="55"/>
      <c r="P99" s="55"/>
      <c r="Q99" s="55"/>
      <c r="R99" s="55"/>
      <c r="S99" s="55"/>
      <c r="T99" s="55"/>
      <c r="U99" s="55"/>
      <c r="V99" s="69"/>
      <c r="W99" s="69"/>
      <c r="X99" s="122"/>
      <c r="Z99" s="140"/>
      <c r="AA99" s="171"/>
      <c r="AB99" s="55"/>
      <c r="AC99" s="223"/>
      <c r="AE99" s="122"/>
      <c r="AN99" s="223"/>
      <c r="AO99" s="223"/>
      <c r="AP99" s="222"/>
      <c r="AR99" s="69"/>
      <c r="AT99" s="65"/>
      <c r="AU99" s="55"/>
      <c r="AV99" s="55"/>
      <c r="AW99" s="430"/>
      <c r="AX99" s="430"/>
      <c r="AY99" s="69"/>
      <c r="AZ99" s="69"/>
      <c r="BA99" s="69"/>
      <c r="BB99" s="501"/>
      <c r="BE99" s="501"/>
      <c r="BF99" s="221"/>
      <c r="BG99" s="517"/>
      <c r="BH99" s="222"/>
      <c r="BI99" s="65"/>
      <c r="BJ99" s="65"/>
      <c r="BK99" s="65"/>
      <c r="BL99" s="258">
        <v>50000000</v>
      </c>
      <c r="BM99" s="65">
        <v>50000000</v>
      </c>
      <c r="BN99" s="65">
        <v>50000000</v>
      </c>
      <c r="BO99" s="65">
        <v>50000000</v>
      </c>
      <c r="BP99" s="55">
        <v>50000000</v>
      </c>
      <c r="BQ99" s="223">
        <v>50000000</v>
      </c>
      <c r="BR99" s="55">
        <v>50000000</v>
      </c>
      <c r="BS99" s="223">
        <v>50000000</v>
      </c>
      <c r="BT99" s="223">
        <v>50000000</v>
      </c>
      <c r="BU99" s="866">
        <v>50000000</v>
      </c>
      <c r="BV99" s="347">
        <v>50000000</v>
      </c>
    </row>
    <row r="100" spans="1:74" x14ac:dyDescent="0.25">
      <c r="A100" s="54" t="s">
        <v>265</v>
      </c>
      <c r="B100" s="55" t="s">
        <v>266</v>
      </c>
      <c r="C100" s="55">
        <v>0</v>
      </c>
      <c r="D100" s="55"/>
      <c r="E100" s="55"/>
      <c r="F100" s="55"/>
      <c r="G100" s="55">
        <v>7023904</v>
      </c>
      <c r="H100" s="55">
        <v>7023904</v>
      </c>
      <c r="I100" s="55">
        <f t="shared" si="53"/>
        <v>7662440.7272727275</v>
      </c>
      <c r="J100" s="55"/>
      <c r="K100" s="55">
        <v>7811262</v>
      </c>
      <c r="L100" s="55">
        <v>7811262</v>
      </c>
      <c r="M100" s="1">
        <f t="shared" si="54"/>
        <v>101.94221760434084</v>
      </c>
      <c r="O100" s="55">
        <v>8617531</v>
      </c>
      <c r="P100" s="55">
        <v>8617531</v>
      </c>
      <c r="Q100" s="55">
        <v>8617531</v>
      </c>
      <c r="R100" s="55">
        <v>8000000</v>
      </c>
      <c r="S100" s="55">
        <v>16055260</v>
      </c>
      <c r="T100" s="55">
        <v>8617531</v>
      </c>
      <c r="U100" s="55">
        <v>7437729</v>
      </c>
      <c r="V100" s="69">
        <f t="shared" si="50"/>
        <v>7437729</v>
      </c>
      <c r="W100" s="69">
        <f t="shared" si="51"/>
        <v>7437729</v>
      </c>
      <c r="X100" s="122">
        <f t="shared" si="56"/>
        <v>115.86239563178491</v>
      </c>
      <c r="Z100" s="140">
        <f t="shared" si="52"/>
        <v>0.86309280465599714</v>
      </c>
      <c r="AA100" s="171">
        <f t="shared" si="34"/>
        <v>7437729</v>
      </c>
      <c r="AB100" s="55">
        <v>8038956</v>
      </c>
      <c r="AC100" s="223">
        <v>8186083</v>
      </c>
      <c r="AE100" s="122">
        <f>AD100/AA100*100</f>
        <v>0</v>
      </c>
      <c r="AH100" s="55">
        <f t="shared" si="35"/>
        <v>0</v>
      </c>
      <c r="AI100" s="230">
        <f t="shared" si="55"/>
        <v>0</v>
      </c>
      <c r="AK100" s="230">
        <f>AI100</f>
        <v>0</v>
      </c>
      <c r="AM100" s="55">
        <v>8186083</v>
      </c>
      <c r="AN100" s="223"/>
      <c r="AO100" s="223"/>
      <c r="AP100" s="222">
        <v>10113951</v>
      </c>
      <c r="AQ100" s="65">
        <v>10112308</v>
      </c>
      <c r="AR100" s="69">
        <f t="shared" si="45"/>
        <v>1643</v>
      </c>
      <c r="AS100" s="415">
        <f t="shared" si="46"/>
        <v>99.98375511212187</v>
      </c>
      <c r="AT100" s="65">
        <v>10112308</v>
      </c>
      <c r="AU100" s="55">
        <f t="shared" si="47"/>
        <v>1643</v>
      </c>
      <c r="AV100" s="55">
        <f t="shared" si="48"/>
        <v>1.624488787813981E-2</v>
      </c>
      <c r="AW100" s="430"/>
      <c r="AX100" s="430"/>
      <c r="AY100" s="69">
        <f t="shared" si="27"/>
        <v>0</v>
      </c>
      <c r="AZ100" s="69">
        <f t="shared" si="27"/>
        <v>0</v>
      </c>
      <c r="BA100" s="69">
        <f t="shared" si="41"/>
        <v>0</v>
      </c>
      <c r="BB100" s="501">
        <v>0</v>
      </c>
      <c r="BC100" s="501">
        <v>22029354</v>
      </c>
      <c r="BD100" s="501">
        <v>22029354</v>
      </c>
      <c r="BE100" s="501">
        <v>22029354</v>
      </c>
      <c r="BF100" s="221">
        <v>22495564</v>
      </c>
      <c r="BG100" s="517">
        <f t="shared" si="42"/>
        <v>26994676.799999997</v>
      </c>
      <c r="BH100" s="222">
        <v>11141377</v>
      </c>
      <c r="BI100" s="65">
        <v>11141377</v>
      </c>
      <c r="BJ100" s="65">
        <v>11141377</v>
      </c>
      <c r="BK100" s="65">
        <v>11141377</v>
      </c>
      <c r="BL100" s="258">
        <f t="shared" si="43"/>
        <v>13369652.399999999</v>
      </c>
      <c r="BM100" s="55">
        <v>17163083</v>
      </c>
      <c r="BN100" s="55">
        <v>17163083</v>
      </c>
      <c r="BO100" s="55">
        <v>0</v>
      </c>
      <c r="BP100" s="55"/>
      <c r="BQ100" s="223"/>
      <c r="BR100" s="55"/>
      <c r="BS100" s="223">
        <v>16722495</v>
      </c>
      <c r="BT100" s="223">
        <v>16722495</v>
      </c>
      <c r="BU100" s="866"/>
      <c r="BV100" s="872"/>
    </row>
    <row r="101" spans="1:74" x14ac:dyDescent="0.25">
      <c r="A101" s="54" t="s">
        <v>72</v>
      </c>
      <c r="B101" s="55" t="s">
        <v>174</v>
      </c>
      <c r="C101" s="55">
        <v>194684496</v>
      </c>
      <c r="D101" s="55">
        <v>166374632</v>
      </c>
      <c r="E101" s="55">
        <v>266034124</v>
      </c>
      <c r="F101" s="55">
        <f>202103319+7023904</f>
        <v>209127223</v>
      </c>
      <c r="G101" s="55">
        <v>266434125</v>
      </c>
      <c r="H101" s="55">
        <v>223140997</v>
      </c>
      <c r="I101" s="55">
        <f t="shared" si="53"/>
        <v>243426542.18181819</v>
      </c>
      <c r="J101" s="55">
        <v>295545966.01007873</v>
      </c>
      <c r="K101" s="55">
        <v>284879639.21674538</v>
      </c>
      <c r="L101" s="55">
        <v>295779639</v>
      </c>
      <c r="M101" s="1">
        <f t="shared" si="54"/>
        <v>121.50673313967491</v>
      </c>
      <c r="O101" s="55">
        <v>295779639</v>
      </c>
      <c r="P101" s="55">
        <v>211388368</v>
      </c>
      <c r="Q101" s="55">
        <v>250062108</v>
      </c>
      <c r="R101" s="55">
        <f>BÖLCSŐDE!R37+FALUHÁZ!Q37+ÓVODA!R37+PMH!R37</f>
        <v>321765166.47109997</v>
      </c>
      <c r="S101" s="55">
        <v>297273639</v>
      </c>
      <c r="T101" s="55">
        <v>289382470</v>
      </c>
      <c r="U101" s="55">
        <f>BÖLCSŐDE!U37+FALUHÁZ!T37+ÓVODA!U37+PMH!U37</f>
        <v>336937827.18000001</v>
      </c>
      <c r="V101" s="69">
        <f>BÖLCSŐDE!V37+FALUHÁZ!U37+ÓVODA!V37+PMH!V37</f>
        <v>322445827.18000001</v>
      </c>
      <c r="W101" s="69">
        <f>BÖLCSŐDE!W37+FALUHÁZ!V37+ÓVODA!W37+PMH!W37</f>
        <v>315086102.18000001</v>
      </c>
      <c r="X101" s="122">
        <f t="shared" si="56"/>
        <v>89.746073791941811</v>
      </c>
      <c r="Z101" s="140">
        <f t="shared" si="52"/>
        <v>1.0888223539594504</v>
      </c>
      <c r="AA101" s="171">
        <f>BÖLCSŐDE!AA37+FALUHÁZ!Z37+ÓVODA!AA37+PMH!AA37</f>
        <v>315192092.18000001</v>
      </c>
      <c r="AB101" s="171">
        <f>BÖLCSŐDE!AB37+FALUHÁZ!AA37+ÓVODA!AB37+PMH!AB37</f>
        <v>151766133</v>
      </c>
      <c r="AC101" s="171">
        <f>BÖLCSŐDE!AC37+FALUHÁZ!AB37+ÓVODA!AC37+PMH!AC37</f>
        <v>200900283</v>
      </c>
      <c r="AD101" s="171">
        <f>BÖLCSŐDE!AD37+FALUHÁZ!AC37+ÓVODA!AD37+PMH!AD37</f>
        <v>209080854</v>
      </c>
      <c r="AE101" s="231" t="e">
        <f>BÖLCSŐDE!AE37+FALUHÁZ!AD37+ÓVODA!AE37+PMH!AE37</f>
        <v>#DIV/0!</v>
      </c>
      <c r="AG101" s="171">
        <f>BÖLCSŐDE!AG37+FALUHÁZ!AG37+ÓVODA!AG37+PMH!AG37</f>
        <v>256266542</v>
      </c>
      <c r="AH101" s="171">
        <f>BÖLCSŐDE!AH37+FALUHÁZ!AH37+ÓVODA!AG37+PMH!AH37</f>
        <v>278316365.81818181</v>
      </c>
      <c r="AI101" s="272">
        <f>BÖLCSŐDE!AI37+FALUHÁZ!AJ37+ÓVODA!AI37+PMH!AI37</f>
        <v>324601203.53600001</v>
      </c>
      <c r="AJ101" s="272"/>
      <c r="AK101" s="230">
        <f>BÖLCSŐDE!AK37+FALUHÁZ!AK37+ÓVODA!AK37+PMH!AK37</f>
        <v>362511726.73899996</v>
      </c>
      <c r="AL101" s="230">
        <f>BÖLCSŐDE!AL37+FALUHÁZ!AL37+ÓVODA!AL37+PMH!AL37</f>
        <v>50558525.200000003</v>
      </c>
      <c r="AM101" s="230">
        <f>BÖLCSŐDE!AM37+FALUHÁZ!AM37+ÓVODA!AM37+PMH!AM37</f>
        <v>312317639</v>
      </c>
      <c r="AN101" s="230">
        <f>BÖLCSŐDE!AN37+FALUHÁZ!AN37+ÓVODA!AN37+PMH!AN37</f>
        <v>179223444</v>
      </c>
      <c r="AO101" s="230">
        <f>BÖLCSŐDE!AO37+FALUHÁZ!AO37+ÓVODA!AO37+PMH!AO37</f>
        <v>83632656</v>
      </c>
      <c r="AP101" s="230">
        <f>BÖLCSŐDE!AP37+FALUHÁZ!AP37+ÓVODA!AP37+PMH!AP37</f>
        <v>348335761</v>
      </c>
      <c r="AQ101" s="230">
        <f>BÖLCSŐDE!AQ37+FALUHÁZ!AQ37+ÓVODA!AQ37+PMH!AQ37</f>
        <v>258570978</v>
      </c>
      <c r="AR101" s="230">
        <f>BÖLCSŐDE!AR37+FALUHÁZ!AR37+ÓVODA!AR37+PMH!AR37</f>
        <v>89764783</v>
      </c>
      <c r="AS101" s="230">
        <f>BÖLCSŐDE!AS37+FALUHÁZ!AS37+ÓVODA!AS37+PMH!AS37</f>
        <v>296.15934241409786</v>
      </c>
      <c r="AT101" s="230">
        <f>BÖLCSŐDE!AT37+FALUHÁZ!AT37+ÓVODA!AT37+PMH!AT37</f>
        <v>282261056</v>
      </c>
      <c r="AU101" s="230">
        <f>BÖLCSŐDE!AU37+FALUHÁZ!AU37+ÓVODA!AU37+PMH!AU37</f>
        <v>66074705</v>
      </c>
      <c r="AV101" s="230">
        <f>BÖLCSŐDE!AV37+FALUHÁZ!AV37+ÓVODA!AV37+PMH!AV37</f>
        <v>76.549765992397212</v>
      </c>
      <c r="AW101" s="230">
        <f>BÖLCSŐDE!AW37+FALUHÁZ!AW37+ÓVODA!AW37+PMH!AW37</f>
        <v>369567358.37</v>
      </c>
      <c r="AX101" s="230">
        <f>BÖLCSŐDE!AX37+FALUHÁZ!AX37+ÓVODA!AX37+PMH!AX37</f>
        <v>387677683.49599999</v>
      </c>
      <c r="AY101" s="230">
        <f>BÖLCSŐDE!AY37+FALUHÁZ!AY37+ÓVODA!AY37+PMH!AY37</f>
        <v>379887960.45599997</v>
      </c>
      <c r="AZ101" s="230">
        <f>BÖLCSŐDE!AZ37+FALUHÁZ!AZ37+ÓVODA!AZ37+PMH!AZ37</f>
        <v>375929921.41999996</v>
      </c>
      <c r="BA101" s="230">
        <f>BÖLCSŐDE!BA37+FALUHÁZ!BA37+ÓVODA!BA37+PMH!BA37</f>
        <v>393499744.0200001</v>
      </c>
      <c r="BB101" s="230">
        <f>BÖLCSŐDE!BB37+FALUHÁZ!BB37+ÓVODA!BB37+PMH!BB37</f>
        <v>379264779</v>
      </c>
      <c r="BC101" s="230">
        <f>BÖLCSŐDE!BC37+FALUHÁZ!BC37+ÓVODA!BC37+PMH!BC37</f>
        <v>379264779</v>
      </c>
      <c r="BD101" s="230">
        <f>BÖLCSŐDE!BD37+FALUHÁZ!BD37+ÓVODA!BD37+PMH!BD37</f>
        <v>205889155</v>
      </c>
      <c r="BE101" s="230">
        <f>BÖLCSŐDE!BE37+FALUHÁZ!BE37+ÓVODA!BE37+PMH!BE37</f>
        <v>262013854</v>
      </c>
      <c r="BF101" s="230">
        <f>BÖLCSŐDE!BF37+FALUHÁZ!BF37+ÓVODA!BF37+PMH!BF37</f>
        <v>290886632</v>
      </c>
      <c r="BG101" s="230">
        <f>BÖLCSŐDE!BG37+FALUHÁZ!BG37+ÓVODA!BG37+PMH!BG37</f>
        <v>349063958.39999998</v>
      </c>
      <c r="BH101" s="568">
        <f>BÖLCSŐDE!BH37+FALUHÁZ!BH37+ÓVODA!BH37+PMH!BH37</f>
        <v>427858239</v>
      </c>
      <c r="BI101" s="568">
        <f>BÖLCSŐDE!BI37+FALUHÁZ!BI37+ÓVODA!BI37+PMH!BI37</f>
        <v>429682668</v>
      </c>
      <c r="BJ101" s="568">
        <f>BÖLCSŐDE!BJ37+FALUHÁZ!BJ37+ÓVODA!BJ37+PMH!BJ37</f>
        <v>186419348</v>
      </c>
      <c r="BK101" s="568">
        <f>BÖLCSŐDE!BK37+FALUHÁZ!BK37+ÓVODA!BK37+PMH!BK37</f>
        <v>314566183</v>
      </c>
      <c r="BL101" s="568">
        <f>BÖLCSŐDE!BL37+FALUHÁZ!BL37+ÓVODA!BL37+PMH!BL37</f>
        <v>399521644</v>
      </c>
      <c r="BM101" s="568">
        <f>BÖLCSŐDE!BM37+FALUHÁZ!BM37+ÓVODA!BM37+PMH!BM37</f>
        <v>482776266</v>
      </c>
      <c r="BN101" s="568">
        <f>BÖLCSŐDE!BN37+FALUHÁZ!BN37+ÓVODA!BN37+PMH!BN37</f>
        <v>482776266</v>
      </c>
      <c r="BO101" s="568">
        <f>BÖLCSŐDE!BO37+FALUHÁZ!BO37+ÓVODA!BO37+PMH!BO37</f>
        <v>354548256</v>
      </c>
      <c r="BP101" s="568">
        <f>BÖLCSŐDE!BP37+FALUHÁZ!BP37+ÓVODA!BP37+PMH!BP37</f>
        <v>415095739</v>
      </c>
      <c r="BQ101" s="568">
        <f>BÖLCSŐDE!BQ37+FALUHÁZ!BQ37+ÓVODA!BQ37+PMH!BQ37</f>
        <v>515052347</v>
      </c>
      <c r="BR101" s="568">
        <f>BÖLCSŐDE!BR37+FALUHÁZ!BR37+ÓVODA!BR37+PMH!BR37</f>
        <v>537267472</v>
      </c>
      <c r="BS101" s="568">
        <f>BÖLCSŐDE!BS37+FALUHÁZ!BS37+ÓVODA!BS37+PMH!BS37</f>
        <v>570078024</v>
      </c>
      <c r="BT101" s="568">
        <f>BÖLCSŐDE!BT37+FALUHÁZ!BT37+ÓVODA!BT37+PMH!BT37</f>
        <v>555086115</v>
      </c>
      <c r="BU101" s="568">
        <f>BÖLCSŐDE!BU37+FALUHÁZ!BU37+ÓVODA!BU37+PMH!BU37</f>
        <v>654260807</v>
      </c>
      <c r="BV101" s="568">
        <f>BÖLCSŐDE!BV37+FALUHÁZ!BV37+ÓVODA!BV37+PMH!BV37</f>
        <v>701359601</v>
      </c>
    </row>
    <row r="102" spans="1:74" x14ac:dyDescent="0.25">
      <c r="I102" s="1">
        <f t="shared" si="53"/>
        <v>0</v>
      </c>
      <c r="M102" s="1">
        <f t="shared" si="54"/>
        <v>0</v>
      </c>
      <c r="V102" s="52"/>
      <c r="W102" s="52"/>
      <c r="AD102" s="71"/>
      <c r="AE102" s="125"/>
      <c r="AF102" s="71"/>
      <c r="AG102" s="71"/>
      <c r="AH102" s="71"/>
      <c r="AI102" s="211"/>
      <c r="AJ102" s="211"/>
      <c r="AK102" s="211"/>
      <c r="AL102" s="71"/>
      <c r="AM102" s="71"/>
      <c r="AP102" s="413"/>
      <c r="AQ102" s="413"/>
      <c r="AR102" s="412"/>
      <c r="AS102" s="445"/>
      <c r="AT102" s="413"/>
      <c r="AU102" s="413"/>
      <c r="AV102" s="413"/>
      <c r="AW102" s="413"/>
      <c r="AX102" s="413"/>
      <c r="BC102" s="506"/>
      <c r="BD102" s="506"/>
      <c r="BF102" s="219"/>
      <c r="BJ102" s="65"/>
      <c r="BV102" s="347"/>
    </row>
    <row r="103" spans="1:74" x14ac:dyDescent="0.25">
      <c r="A103" s="11" t="s">
        <v>3</v>
      </c>
      <c r="B103" s="12"/>
      <c r="C103" s="1">
        <f t="shared" ref="C103:H103" si="60">SUM(C2:C37)</f>
        <v>560349734.20000005</v>
      </c>
      <c r="D103" s="1">
        <f t="shared" si="60"/>
        <v>756421986</v>
      </c>
      <c r="E103" s="1">
        <f t="shared" si="60"/>
        <v>670053772.20000005</v>
      </c>
      <c r="F103" s="1">
        <f t="shared" si="60"/>
        <v>634828975</v>
      </c>
      <c r="G103" s="1">
        <f t="shared" si="60"/>
        <v>674031024</v>
      </c>
      <c r="H103" s="1">
        <f t="shared" si="60"/>
        <v>681289626</v>
      </c>
      <c r="I103" s="1">
        <f t="shared" si="53"/>
        <v>743225046.5454545</v>
      </c>
      <c r="J103" s="1">
        <f>SUM(J2:J37)</f>
        <v>508073968.69999999</v>
      </c>
      <c r="K103" s="1">
        <v>508071617.69999999</v>
      </c>
      <c r="L103" s="1">
        <f>SUM(L2:L37)</f>
        <v>508071617.69999999</v>
      </c>
      <c r="M103" s="1">
        <f t="shared" si="54"/>
        <v>68.360400401135706</v>
      </c>
      <c r="O103" s="1">
        <f t="shared" ref="O103:W103" si="61">SUM(O2:O37)</f>
        <v>878992499</v>
      </c>
      <c r="P103" s="1">
        <f t="shared" si="61"/>
        <v>825391458</v>
      </c>
      <c r="Q103" s="1">
        <f t="shared" si="61"/>
        <v>869991040</v>
      </c>
      <c r="R103" s="1">
        <f t="shared" si="61"/>
        <v>455782528</v>
      </c>
      <c r="S103" s="1">
        <f t="shared" si="61"/>
        <v>898622320</v>
      </c>
      <c r="T103" s="1">
        <f t="shared" si="61"/>
        <v>962001319</v>
      </c>
      <c r="U103" s="1">
        <f t="shared" si="61"/>
        <v>467839300</v>
      </c>
      <c r="V103" s="1">
        <f t="shared" si="61"/>
        <v>606831300</v>
      </c>
      <c r="W103" s="1">
        <f t="shared" si="61"/>
        <v>580821300</v>
      </c>
      <c r="X103" s="120">
        <f t="shared" si="56"/>
        <v>158.52862550102475</v>
      </c>
      <c r="AA103" s="1">
        <f>SUM(AA2:AA37)</f>
        <v>964835336.42999995</v>
      </c>
      <c r="AB103" s="1">
        <f>SUM(AB2:AB37)</f>
        <v>634468110</v>
      </c>
      <c r="AC103" s="1">
        <f>SUM(AC2:AC37)</f>
        <v>865911929</v>
      </c>
      <c r="AD103" s="71">
        <f>SUM(AD2:AD37)</f>
        <v>636224384</v>
      </c>
      <c r="AE103" s="71">
        <f>SUM(AE2:AE37)</f>
        <v>11711979.314078813</v>
      </c>
      <c r="AF103" s="71"/>
      <c r="AG103" s="71">
        <f>SUM(AG2:AG37)</f>
        <v>809706105</v>
      </c>
      <c r="AH103" s="71">
        <f>SUM(AH2:AH37)</f>
        <v>971647326</v>
      </c>
      <c r="AI103" s="211">
        <f>SUM(AI2:AI37)</f>
        <v>1135731357.4799998</v>
      </c>
      <c r="AJ103" s="211"/>
      <c r="AK103" s="211">
        <f>SUM(AK2:AK37)</f>
        <v>1211128685.1999998</v>
      </c>
      <c r="AL103" s="211">
        <f t="shared" ref="AL103:AR103" si="62">SUM(AL2:AL37)</f>
        <v>245127372</v>
      </c>
      <c r="AM103" s="211">
        <f t="shared" si="62"/>
        <v>1383622830</v>
      </c>
      <c r="AN103" s="211">
        <f t="shared" si="62"/>
        <v>0</v>
      </c>
      <c r="AO103" s="211">
        <f t="shared" si="62"/>
        <v>0</v>
      </c>
      <c r="AP103" s="211">
        <f t="shared" si="62"/>
        <v>1312284411</v>
      </c>
      <c r="AQ103" s="211">
        <f t="shared" si="62"/>
        <v>1106007707</v>
      </c>
      <c r="AR103" s="211">
        <f t="shared" si="62"/>
        <v>206276704</v>
      </c>
      <c r="AS103" s="445">
        <f t="shared" si="46"/>
        <v>84.281097735298786</v>
      </c>
      <c r="AT103" s="211">
        <f t="shared" ref="AT103:AU103" si="63">SUM(AT2:AT37)</f>
        <v>1169936767</v>
      </c>
      <c r="AU103" s="211">
        <f t="shared" si="63"/>
        <v>143715594</v>
      </c>
      <c r="AV103" s="211"/>
      <c r="AW103" s="211">
        <f t="shared" ref="AW103:AX103" si="64">SUM(AW2:AW37)</f>
        <v>1316138584</v>
      </c>
      <c r="AX103" s="211">
        <f t="shared" si="64"/>
        <v>814591962.5</v>
      </c>
      <c r="AY103" s="211">
        <f t="shared" ref="AY103:BA103" si="65">SUM(AY2:AY37)</f>
        <v>857591962.5</v>
      </c>
      <c r="AZ103" s="211">
        <f>SUM(AZ2:AZ37)</f>
        <v>867591962.5</v>
      </c>
      <c r="BA103" s="211">
        <f t="shared" si="65"/>
        <v>867591962.5</v>
      </c>
      <c r="BB103" s="501">
        <f t="shared" ref="BB103:BE103" si="66">SUM(BB2:BB37)</f>
        <v>867591963</v>
      </c>
      <c r="BC103" s="501">
        <f t="shared" si="66"/>
        <v>990443855</v>
      </c>
      <c r="BD103" s="501">
        <f t="shared" si="66"/>
        <v>628417915</v>
      </c>
      <c r="BE103" s="501">
        <f t="shared" si="66"/>
        <v>747551613</v>
      </c>
      <c r="BF103" s="221">
        <f t="shared" ref="BF103:BI103" si="67">SUM(BF2:BF37)</f>
        <v>793028042</v>
      </c>
      <c r="BG103" s="359">
        <f t="shared" si="67"/>
        <v>951633650.39999998</v>
      </c>
      <c r="BH103" s="569">
        <f t="shared" si="67"/>
        <v>868843969</v>
      </c>
      <c r="BI103" s="501">
        <f t="shared" si="67"/>
        <v>1177981416</v>
      </c>
      <c r="BJ103" s="501">
        <f t="shared" ref="BJ103" si="68">SUM(BJ2:BJ37)</f>
        <v>422960690</v>
      </c>
      <c r="BK103" s="65">
        <f t="shared" ref="BK103:BL103" si="69">SUM(BK2:BK37)</f>
        <v>985483419</v>
      </c>
      <c r="BL103" s="65">
        <f t="shared" si="69"/>
        <v>653073073.20000005</v>
      </c>
      <c r="BM103" s="65">
        <f t="shared" ref="BM103" si="70">SUM(BM2:BM37)</f>
        <v>1169627867.0880001</v>
      </c>
      <c r="BN103" s="65">
        <f t="shared" ref="BN103" si="71">SUM(BN2:BN37)</f>
        <v>1169627867</v>
      </c>
      <c r="BO103" s="65">
        <f t="shared" ref="BO103" si="72">SUM(BO2:BO37)</f>
        <v>1690046148</v>
      </c>
      <c r="BP103" s="65">
        <f t="shared" ref="BP103:BQ103" si="73">SUM(BP2:BP37)</f>
        <v>1752385641.5999999</v>
      </c>
      <c r="BQ103" s="65">
        <f t="shared" si="73"/>
        <v>1739225856.4499998</v>
      </c>
      <c r="BR103" s="65">
        <f t="shared" ref="BR103:BS103" si="74">SUM(BR2:BR37)</f>
        <v>1717449757</v>
      </c>
      <c r="BS103" s="65">
        <f t="shared" si="74"/>
        <v>1704642777</v>
      </c>
      <c r="BT103" s="739">
        <f t="shared" ref="BT103" si="75">SUM(BT2:BT37)</f>
        <v>1883980763</v>
      </c>
      <c r="BU103" s="821">
        <f>SUM(BU2:BU37)</f>
        <v>1226161235</v>
      </c>
      <c r="BV103" s="739">
        <f>SUM(BV2:BV37)</f>
        <v>942105091</v>
      </c>
    </row>
    <row r="104" spans="1:74" x14ac:dyDescent="0.25">
      <c r="A104" s="11" t="s">
        <v>4</v>
      </c>
      <c r="B104" s="12"/>
      <c r="C104" s="1">
        <f t="shared" ref="C104:H104" si="76">SUM(C38:C101)</f>
        <v>542526758</v>
      </c>
      <c r="D104" s="1">
        <f t="shared" si="76"/>
        <v>458834739.34000003</v>
      </c>
      <c r="E104" s="1">
        <f t="shared" si="76"/>
        <v>620418158.55999994</v>
      </c>
      <c r="F104" s="1">
        <f t="shared" si="76"/>
        <v>445619864</v>
      </c>
      <c r="G104" s="1">
        <f t="shared" si="76"/>
        <v>674031024</v>
      </c>
      <c r="H104" s="1">
        <f t="shared" si="76"/>
        <v>499270043</v>
      </c>
      <c r="I104" s="1">
        <f t="shared" si="53"/>
        <v>544658228.72727275</v>
      </c>
      <c r="J104" s="1">
        <f>SUM(J38:J101)</f>
        <v>671412343.46007872</v>
      </c>
      <c r="K104" s="1">
        <v>639224835.86674547</v>
      </c>
      <c r="L104" s="1" t="e">
        <f>SUM(L38:L101)</f>
        <v>#REF!</v>
      </c>
      <c r="M104" s="1" t="e">
        <f t="shared" si="54"/>
        <v>#REF!</v>
      </c>
      <c r="O104" s="1">
        <f t="shared" ref="O104:W104" si="77">SUM(O38:O101)</f>
        <v>878992499</v>
      </c>
      <c r="P104" s="1">
        <f t="shared" si="77"/>
        <v>484660661</v>
      </c>
      <c r="Q104" s="1">
        <f t="shared" si="77"/>
        <v>536725267</v>
      </c>
      <c r="R104" s="1">
        <f t="shared" si="77"/>
        <v>1005077226.4711</v>
      </c>
      <c r="S104" s="1">
        <f t="shared" si="77"/>
        <v>898622320</v>
      </c>
      <c r="T104" s="1">
        <f t="shared" si="77"/>
        <v>655358037</v>
      </c>
      <c r="U104" s="1">
        <f t="shared" si="77"/>
        <v>1017513419.8800001</v>
      </c>
      <c r="V104" s="1">
        <f t="shared" si="77"/>
        <v>893328048.88000011</v>
      </c>
      <c r="W104" s="1">
        <f t="shared" si="77"/>
        <v>881978323.88000011</v>
      </c>
      <c r="X104" s="120">
        <f t="shared" si="56"/>
        <v>73.361408255528048</v>
      </c>
      <c r="AA104" s="1">
        <f>SUM(AA38:AA101)</f>
        <v>958422336.88000011</v>
      </c>
      <c r="AB104" s="1">
        <f>SUM(AB38:AB101)</f>
        <v>399111070</v>
      </c>
      <c r="AC104" s="1">
        <f>SUM(AC38:AC101)</f>
        <v>639896630</v>
      </c>
      <c r="AD104" s="71">
        <f>SUM(AD38:AD101)</f>
        <v>718327227</v>
      </c>
      <c r="AE104" s="71" t="e">
        <f>SUM(AE38:AE101)</f>
        <v>#DIV/0!</v>
      </c>
      <c r="AF104" s="71"/>
      <c r="AG104" s="71">
        <f>SUM(AG38:AG101)</f>
        <v>949644229</v>
      </c>
      <c r="AH104" s="71">
        <f>SUM(AH38:AH101)</f>
        <v>1110369590.2181818</v>
      </c>
      <c r="AI104" s="211">
        <f>SUM(AI38:AI101)</f>
        <v>1410082185.0304</v>
      </c>
      <c r="AJ104" s="211"/>
      <c r="AK104" s="211">
        <f>SUM(AK38:AK101)</f>
        <v>1157120155.4373999</v>
      </c>
      <c r="AL104" s="211">
        <f t="shared" ref="AL104:AR104" si="78">SUM(AL38:AL101)</f>
        <v>50558525.200000003</v>
      </c>
      <c r="AM104" s="211">
        <f t="shared" si="78"/>
        <v>1250607085</v>
      </c>
      <c r="AN104" s="211">
        <f t="shared" si="78"/>
        <v>179223444</v>
      </c>
      <c r="AO104" s="211">
        <f t="shared" si="78"/>
        <v>83632656</v>
      </c>
      <c r="AP104" s="211">
        <f t="shared" si="78"/>
        <v>1312056700</v>
      </c>
      <c r="AQ104" s="211">
        <f t="shared" si="78"/>
        <v>1015314493</v>
      </c>
      <c r="AR104" s="211">
        <f t="shared" si="78"/>
        <v>296742207</v>
      </c>
      <c r="AS104" s="445">
        <f t="shared" si="46"/>
        <v>77.383431142876674</v>
      </c>
      <c r="AT104" s="211">
        <f t="shared" ref="AT104:AU104" si="79">SUM(AT38:AT101)</f>
        <v>1112937878</v>
      </c>
      <c r="AU104" s="211">
        <f t="shared" si="79"/>
        <v>199118822</v>
      </c>
      <c r="AV104" s="211"/>
      <c r="AW104" s="211">
        <f t="shared" ref="AW104:AX104" si="80">SUM(AW38:AW101)</f>
        <v>1216934458.3699999</v>
      </c>
      <c r="AX104" s="211">
        <f t="shared" si="80"/>
        <v>891115530.89600003</v>
      </c>
      <c r="AY104" s="211">
        <f>SUM(AY38:AY101)</f>
        <v>846980695.85600007</v>
      </c>
      <c r="AZ104" s="211">
        <f>SUM(AZ38:AZ101)</f>
        <v>839502189.57999992</v>
      </c>
      <c r="BA104" s="211">
        <f t="shared" ref="BA104:BE104" si="81">SUM(BA38:BA101)</f>
        <v>860592479.4200002</v>
      </c>
      <c r="BB104" s="501">
        <f t="shared" si="81"/>
        <v>867591964</v>
      </c>
      <c r="BC104" s="501">
        <f t="shared" si="81"/>
        <v>988804558</v>
      </c>
      <c r="BD104" s="501">
        <f t="shared" si="81"/>
        <v>537166072</v>
      </c>
      <c r="BE104" s="501">
        <f t="shared" si="81"/>
        <v>671195721</v>
      </c>
      <c r="BF104" s="221">
        <f t="shared" ref="BF104:BI104" si="82">SUM(BF38:BF101)</f>
        <v>729081991</v>
      </c>
      <c r="BG104" s="359">
        <f t="shared" si="82"/>
        <v>867819841.4181819</v>
      </c>
      <c r="BH104" s="569">
        <f t="shared" si="82"/>
        <v>868843969.44000006</v>
      </c>
      <c r="BI104" s="501">
        <f t="shared" si="82"/>
        <v>1177981416</v>
      </c>
      <c r="BJ104" s="501">
        <f t="shared" ref="BJ104" si="83">SUM(BJ38:BJ101)</f>
        <v>404550427</v>
      </c>
      <c r="BK104" s="65">
        <f t="shared" ref="BK104:BL104" si="84">SUM(BK38:BK101)</f>
        <v>647768921</v>
      </c>
      <c r="BL104" s="65">
        <f t="shared" si="84"/>
        <v>753860356.39999998</v>
      </c>
      <c r="BM104" s="65">
        <f t="shared" ref="BM104" si="85">SUM(BM38:BM101)</f>
        <v>1155901788.026</v>
      </c>
      <c r="BN104" s="65">
        <f t="shared" ref="BN104" si="86">SUM(BN38:BN101)</f>
        <v>1172452866.8000002</v>
      </c>
      <c r="BO104" s="65">
        <f t="shared" ref="BO104" si="87">SUM(BO38:BO101)</f>
        <v>745593620</v>
      </c>
      <c r="BP104" s="65">
        <f t="shared" ref="BP104:BQ104" si="88">SUM(BP38:BP101)</f>
        <v>878186421.79999995</v>
      </c>
      <c r="BQ104" s="65">
        <f t="shared" si="88"/>
        <v>1887265221.04</v>
      </c>
      <c r="BR104" s="65">
        <f t="shared" ref="BR104:BS104" si="89">SUM(BR38:BR101)</f>
        <v>1865550180</v>
      </c>
      <c r="BS104" s="65">
        <f t="shared" si="89"/>
        <v>1909666305.8699999</v>
      </c>
      <c r="BT104" s="739">
        <f>SUM(BT38:BT101)</f>
        <v>1870285516.8699999</v>
      </c>
      <c r="BU104" s="821">
        <f>SUM(BU38:BU101)</f>
        <v>1048574752</v>
      </c>
      <c r="BV104" s="739">
        <f>SUM(BV38:BV101)</f>
        <v>1134074112</v>
      </c>
    </row>
    <row r="105" spans="1:74" x14ac:dyDescent="0.25">
      <c r="A105" s="11"/>
      <c r="B105" s="1" t="s">
        <v>308</v>
      </c>
      <c r="C105" s="1">
        <f t="shared" ref="C105:H105" si="90">SUM(C39:C55)</f>
        <v>65891129</v>
      </c>
      <c r="D105" s="1">
        <f t="shared" si="90"/>
        <v>56890245.340000004</v>
      </c>
      <c r="E105" s="1">
        <f t="shared" si="90"/>
        <v>75029186</v>
      </c>
      <c r="F105" s="1">
        <f t="shared" si="90"/>
        <v>59706253</v>
      </c>
      <c r="G105" s="1">
        <f t="shared" si="90"/>
        <v>75029186</v>
      </c>
      <c r="H105" s="1">
        <f t="shared" si="90"/>
        <v>65626144</v>
      </c>
      <c r="I105" s="1">
        <f t="shared" si="53"/>
        <v>71592157.090909094</v>
      </c>
      <c r="J105" s="1">
        <f>SUM(J39:J55)</f>
        <v>60776362</v>
      </c>
      <c r="K105" s="1">
        <v>61660662.399999999</v>
      </c>
      <c r="L105" s="1" t="e">
        <f>SUM(L39:L55)</f>
        <v>#REF!</v>
      </c>
      <c r="M105" s="1" t="e">
        <f t="shared" si="54"/>
        <v>#REF!</v>
      </c>
      <c r="O105" s="1">
        <f t="shared" ref="O105:W105" si="91">SUM(O39:O55)</f>
        <v>61660663</v>
      </c>
      <c r="P105" s="1">
        <f t="shared" si="91"/>
        <v>48742199</v>
      </c>
      <c r="Q105" s="1">
        <f t="shared" si="91"/>
        <v>53891685</v>
      </c>
      <c r="R105" s="1">
        <f t="shared" si="91"/>
        <v>76811786</v>
      </c>
      <c r="S105" s="1">
        <f t="shared" si="91"/>
        <v>67703847</v>
      </c>
      <c r="T105" s="1">
        <f t="shared" si="91"/>
        <v>67341767</v>
      </c>
      <c r="U105" s="1">
        <f t="shared" si="91"/>
        <v>65383179</v>
      </c>
      <c r="V105" s="1">
        <f t="shared" si="91"/>
        <v>65383179</v>
      </c>
      <c r="W105" s="1">
        <f t="shared" si="91"/>
        <v>65383179</v>
      </c>
      <c r="X105" s="120">
        <f t="shared" si="56"/>
        <v>102.99555333643229</v>
      </c>
      <c r="AA105" s="1">
        <f>SUM(AA39:AA55)</f>
        <v>65383179</v>
      </c>
      <c r="AB105" s="1">
        <f>SUM(AB39:AB55)</f>
        <v>33123899</v>
      </c>
      <c r="AC105" s="1">
        <f>SUM(AC39:AC55)</f>
        <v>44638926</v>
      </c>
      <c r="AD105" s="71">
        <f>SUM(AD39:AD55)</f>
        <v>42240407</v>
      </c>
      <c r="AE105" s="71">
        <f>SUM(AE39:AE55)</f>
        <v>1075991.1882351656</v>
      </c>
      <c r="AF105" s="71"/>
      <c r="AG105" s="71">
        <f>SUM(AG39:AG55)</f>
        <v>55275523</v>
      </c>
      <c r="AH105" s="71">
        <f>SUM(AH39:AH55)</f>
        <v>66330627.600000001</v>
      </c>
      <c r="AI105" s="211">
        <f>SUM(AI39:AI55)</f>
        <v>72081104.510399997</v>
      </c>
      <c r="AJ105" s="211"/>
      <c r="AK105" s="211">
        <f>SUM(AK39:AK55)</f>
        <v>69282730.510399997</v>
      </c>
      <c r="AL105" s="211">
        <f t="shared" ref="AL105:AR105" si="92">SUM(AL39:AL55)</f>
        <v>0</v>
      </c>
      <c r="AM105" s="211">
        <f t="shared" si="92"/>
        <v>71438924</v>
      </c>
      <c r="AN105" s="211">
        <f t="shared" si="92"/>
        <v>0</v>
      </c>
      <c r="AO105" s="211">
        <f t="shared" si="92"/>
        <v>0</v>
      </c>
      <c r="AP105" s="211">
        <f t="shared" si="92"/>
        <v>69382730</v>
      </c>
      <c r="AQ105" s="211">
        <f t="shared" si="92"/>
        <v>57931088</v>
      </c>
      <c r="AR105" s="211">
        <f t="shared" si="92"/>
        <v>11451642</v>
      </c>
      <c r="AS105" s="445">
        <f t="shared" si="46"/>
        <v>83.494967695851699</v>
      </c>
      <c r="AT105" s="211">
        <f t="shared" ref="AT105:AU105" si="93">SUM(AT39:AT55)</f>
        <v>64470582</v>
      </c>
      <c r="AU105" s="211">
        <f t="shared" si="93"/>
        <v>4912148</v>
      </c>
      <c r="AV105" s="211"/>
      <c r="AW105" s="211">
        <f t="shared" ref="AW105:AX105" si="94">SUM(AW39:AW55)</f>
        <v>69282730</v>
      </c>
      <c r="AX105" s="211">
        <f t="shared" si="94"/>
        <v>74825348.400000021</v>
      </c>
      <c r="AY105" s="211">
        <f t="shared" ref="AY105:BA105" si="95">SUM(AY39:AY55)</f>
        <v>74825348.400000021</v>
      </c>
      <c r="AZ105" s="211">
        <f t="shared" si="95"/>
        <v>71304881.159999996</v>
      </c>
      <c r="BA105" s="211">
        <f t="shared" si="95"/>
        <v>74825348.400000021</v>
      </c>
      <c r="BB105" s="501">
        <f t="shared" ref="BB105:BE105" si="96">SUM(BB39:BB55)</f>
        <v>71304881</v>
      </c>
      <c r="BC105" s="501">
        <f t="shared" si="96"/>
        <v>71304881</v>
      </c>
      <c r="BD105" s="501">
        <f t="shared" si="96"/>
        <v>45387077</v>
      </c>
      <c r="BE105" s="501">
        <f t="shared" si="96"/>
        <v>58746513</v>
      </c>
      <c r="BF105" s="221">
        <f t="shared" ref="BF105:BI105" si="97">SUM(BF39:BF55)</f>
        <v>64886688</v>
      </c>
      <c r="BG105" s="359">
        <f t="shared" si="97"/>
        <v>70785477.818181813</v>
      </c>
      <c r="BH105" s="569">
        <f t="shared" si="97"/>
        <v>85781942</v>
      </c>
      <c r="BI105" s="501">
        <f t="shared" si="97"/>
        <v>85781942</v>
      </c>
      <c r="BJ105" s="501">
        <f t="shared" ref="BJ105" si="98">SUM(BJ39:BJ55)</f>
        <v>43771371</v>
      </c>
      <c r="BK105" s="65">
        <f t="shared" ref="BK105:BL105" si="99">SUM(BK39:BK55)</f>
        <v>74229784</v>
      </c>
      <c r="BL105" s="65">
        <f t="shared" si="99"/>
        <v>85781942</v>
      </c>
      <c r="BM105" s="65">
        <f t="shared" ref="BM105" si="100">SUM(BM39:BM55)</f>
        <v>86308619.395999998</v>
      </c>
      <c r="BN105" s="65">
        <f t="shared" ref="BN105" si="101">SUM(BN39:BN55)</f>
        <v>89133619.170000002</v>
      </c>
      <c r="BO105" s="65">
        <f t="shared" ref="BO105" si="102">SUM(BO39:BO55)</f>
        <v>72584483</v>
      </c>
      <c r="BP105" s="65">
        <f t="shared" ref="BP105:BQ105" si="103">SUM(BP39:BP55)</f>
        <v>90937625.599999994</v>
      </c>
      <c r="BQ105" s="65">
        <f t="shared" si="103"/>
        <v>100031388.16</v>
      </c>
      <c r="BR105" s="65">
        <f t="shared" ref="BR105:BS105" si="104">SUM(BR39:BR55)</f>
        <v>91295499</v>
      </c>
      <c r="BS105" s="65">
        <f t="shared" si="104"/>
        <v>104500703.87</v>
      </c>
      <c r="BT105" s="739">
        <f t="shared" ref="BT105:BV105" si="105">SUM(BT39:BT55)</f>
        <v>104500703.87</v>
      </c>
      <c r="BU105" s="821">
        <f t="shared" si="105"/>
        <v>128963365</v>
      </c>
      <c r="BV105" s="739">
        <f t="shared" si="105"/>
        <v>127539871</v>
      </c>
    </row>
    <row r="106" spans="1:74" x14ac:dyDescent="0.25">
      <c r="A106" s="11"/>
      <c r="B106" s="1" t="s">
        <v>309</v>
      </c>
      <c r="C106" s="1">
        <f t="shared" ref="C106:H106" si="106">SUM(C56:C88)+C100+C101</f>
        <v>358635629</v>
      </c>
      <c r="D106" s="1">
        <f t="shared" si="106"/>
        <v>367045416</v>
      </c>
      <c r="E106" s="1">
        <f t="shared" si="106"/>
        <v>402973425.56</v>
      </c>
      <c r="F106" s="1">
        <f t="shared" si="106"/>
        <v>287476610</v>
      </c>
      <c r="G106" s="1">
        <f t="shared" si="106"/>
        <v>454316066</v>
      </c>
      <c r="H106" s="1">
        <f t="shared" si="106"/>
        <v>316991031</v>
      </c>
      <c r="I106" s="1">
        <f t="shared" si="53"/>
        <v>345808397.45454544</v>
      </c>
      <c r="J106" s="1">
        <f>SUM(J56:J88)+J100+J101</f>
        <v>434736909.21007872</v>
      </c>
      <c r="K106" s="1">
        <v>401965101.21674538</v>
      </c>
      <c r="L106" s="1">
        <f>SUM(L56:L88)+L100+L101</f>
        <v>403425101</v>
      </c>
      <c r="M106" s="1">
        <f t="shared" si="54"/>
        <v>116.66145298077323</v>
      </c>
      <c r="O106" s="1">
        <f t="shared" ref="O106:W106" si="107">SUM(O56:O88)+O100+O101</f>
        <v>462135908</v>
      </c>
      <c r="P106" s="1">
        <f t="shared" si="107"/>
        <v>290301395</v>
      </c>
      <c r="Q106" s="1">
        <f t="shared" si="107"/>
        <v>335786061</v>
      </c>
      <c r="R106" s="1">
        <f t="shared" si="107"/>
        <v>430349366.47109997</v>
      </c>
      <c r="S106" s="1">
        <f t="shared" si="107"/>
        <v>475722545</v>
      </c>
      <c r="T106" s="1">
        <f t="shared" si="107"/>
        <v>389858228</v>
      </c>
      <c r="U106" s="1">
        <f t="shared" si="107"/>
        <v>444928996.18000001</v>
      </c>
      <c r="V106" s="1">
        <f t="shared" si="107"/>
        <v>427256996.18000001</v>
      </c>
      <c r="W106" s="1">
        <f t="shared" si="107"/>
        <v>415507271.18000001</v>
      </c>
      <c r="X106" s="120">
        <f t="shared" si="56"/>
        <v>91.246774537486047</v>
      </c>
      <c r="AA106" s="1">
        <f>SUM(AA56:AA88)+AA100+AA101</f>
        <v>447408913.18000001</v>
      </c>
      <c r="AB106" s="1">
        <f>SUM(AB56:AB88)+AB100+AB101</f>
        <v>259373396</v>
      </c>
      <c r="AC106" s="1">
        <f>SUM(AC56:AC88)+AC100+AC101</f>
        <v>365729975</v>
      </c>
      <c r="AD106" s="71">
        <f>SUM(AD56:AD88)+AD100+AD101</f>
        <v>380436133</v>
      </c>
      <c r="AE106" s="71" t="e">
        <f>SUM(AE56:AE88)+AE100+AE101</f>
        <v>#DIV/0!</v>
      </c>
      <c r="AF106" s="71"/>
      <c r="AG106" s="71">
        <f>SUM(AG56:AG88)+AG100+AG101</f>
        <v>454390208</v>
      </c>
      <c r="AH106" s="71">
        <f>SUM(AH56:AH88)+AH100+AH101</f>
        <v>516064765.0181818</v>
      </c>
      <c r="AI106" s="211">
        <f>SUM(AI56:AI88)+AI100+AI101</f>
        <v>562901080.51999998</v>
      </c>
      <c r="AJ106" s="211"/>
      <c r="AK106" s="211">
        <f>SUM(AK56:AK88)+AK100+AK101</f>
        <v>453013581.06699997</v>
      </c>
      <c r="AL106" s="211">
        <f t="shared" ref="AL106:AR106" si="108">SUM(AL56:AL88)+AL100+AL101</f>
        <v>50558525.200000003</v>
      </c>
      <c r="AM106" s="211">
        <f t="shared" si="108"/>
        <v>580297178</v>
      </c>
      <c r="AN106" s="211">
        <f t="shared" si="108"/>
        <v>179223444</v>
      </c>
      <c r="AO106" s="211">
        <f t="shared" si="108"/>
        <v>83632656</v>
      </c>
      <c r="AP106" s="211">
        <f t="shared" si="108"/>
        <v>548549136</v>
      </c>
      <c r="AQ106" s="211">
        <f t="shared" si="108"/>
        <v>426647956</v>
      </c>
      <c r="AR106" s="211">
        <f t="shared" si="108"/>
        <v>121901180</v>
      </c>
      <c r="AS106" s="445">
        <f t="shared" si="46"/>
        <v>77.777527663447088</v>
      </c>
      <c r="AT106" s="211">
        <f t="shared" ref="AT106:AU106" si="109">SUM(AT56:AT88)+AT100+AT101</f>
        <v>463601247</v>
      </c>
      <c r="AU106" s="211">
        <f t="shared" si="109"/>
        <v>84947889</v>
      </c>
      <c r="AV106" s="211"/>
      <c r="AW106" s="211">
        <f t="shared" ref="AW106:AX106" si="110">SUM(AW56:AW88)+AW100+AW101</f>
        <v>501642884.37</v>
      </c>
      <c r="AX106" s="211">
        <f t="shared" si="110"/>
        <v>519618716.49599999</v>
      </c>
      <c r="AY106" s="211">
        <f t="shared" ref="AY106:BA106" si="111">SUM(AY56:AY88)+AY100+AY101</f>
        <v>509092585.45599997</v>
      </c>
      <c r="AZ106" s="211">
        <f t="shared" si="111"/>
        <v>505134546.41999996</v>
      </c>
      <c r="BA106" s="211">
        <f t="shared" si="111"/>
        <v>522704369.0200001</v>
      </c>
      <c r="BB106" s="501">
        <f t="shared" ref="BB106:BF106" si="112">SUM(BB56:BB88)+BB100+BB101</f>
        <v>525224321</v>
      </c>
      <c r="BC106" s="501">
        <f t="shared" si="112"/>
        <v>659501632</v>
      </c>
      <c r="BD106" s="501">
        <f t="shared" si="112"/>
        <v>361377778</v>
      </c>
      <c r="BE106" s="501">
        <f t="shared" si="112"/>
        <v>468241788</v>
      </c>
      <c r="BF106" s="221">
        <f t="shared" si="112"/>
        <v>514448405</v>
      </c>
      <c r="BG106" s="359">
        <f t="shared" ref="BG106:BI106" si="113">SUM(BG56:BG88)+BG100+BG101</f>
        <v>617338086</v>
      </c>
      <c r="BH106" s="569">
        <f t="shared" si="113"/>
        <v>593062027.44000006</v>
      </c>
      <c r="BI106" s="501">
        <f t="shared" si="113"/>
        <v>643048446</v>
      </c>
      <c r="BJ106" s="501">
        <f t="shared" ref="BJ106:BL106" si="114">SUM(BJ56:BJ88)+BJ100+BJ101</f>
        <v>280957711</v>
      </c>
      <c r="BK106" s="65">
        <f t="shared" si="114"/>
        <v>470928125</v>
      </c>
      <c r="BL106" s="65">
        <f t="shared" si="114"/>
        <v>597400974.39999998</v>
      </c>
      <c r="BM106" s="65">
        <f t="shared" ref="BM106" si="115">SUM(BM56:BM88)+BM100+BM101</f>
        <v>657844249</v>
      </c>
      <c r="BN106" s="65">
        <f t="shared" ref="BN106" si="116">SUM(BN56:BN88)+BN100+BN101</f>
        <v>671570328</v>
      </c>
      <c r="BO106" s="65">
        <f t="shared" ref="BO106" si="117">SUM(BO56:BO88)+BO100+BO101</f>
        <v>545378043</v>
      </c>
      <c r="BP106" s="65">
        <f t="shared" ref="BP106:BQ106" si="118">SUM(BP56:BP88)+BP100+BP101</f>
        <v>644091483.39999998</v>
      </c>
      <c r="BQ106" s="65">
        <f t="shared" si="118"/>
        <v>752556743.88</v>
      </c>
      <c r="BR106" s="65">
        <f t="shared" ref="BR106:BS106" si="119">SUM(BR56:BR88)+BR100+BR101</f>
        <v>749017472</v>
      </c>
      <c r="BS106" s="65">
        <f t="shared" si="119"/>
        <v>798550519</v>
      </c>
      <c r="BT106" s="739">
        <f t="shared" ref="BT106:BV106" si="120">SUM(BT56:BT88)+BT100+BT101</f>
        <v>739769730</v>
      </c>
      <c r="BU106" s="821">
        <f t="shared" si="120"/>
        <v>869611387</v>
      </c>
      <c r="BV106" s="739">
        <f t="shared" si="120"/>
        <v>930777841</v>
      </c>
    </row>
    <row r="107" spans="1:74" x14ac:dyDescent="0.25">
      <c r="A107" s="11"/>
      <c r="B107" s="1" t="s">
        <v>310</v>
      </c>
      <c r="C107" s="1">
        <f>SUM(C89:C98)</f>
        <v>118000000</v>
      </c>
      <c r="D107" s="1">
        <f t="shared" ref="D107:L107" si="121">SUM(D89:D98)</f>
        <v>34899078</v>
      </c>
      <c r="E107" s="1">
        <f t="shared" si="121"/>
        <v>142415547</v>
      </c>
      <c r="F107" s="1">
        <f t="shared" si="121"/>
        <v>98437001</v>
      </c>
      <c r="G107" s="1">
        <f t="shared" si="121"/>
        <v>144685772</v>
      </c>
      <c r="H107" s="1">
        <f t="shared" si="121"/>
        <v>116652868</v>
      </c>
      <c r="I107" s="1">
        <f t="shared" si="53"/>
        <v>127257674.18181819</v>
      </c>
      <c r="J107" s="1">
        <f t="shared" ref="J107" si="122">SUM(J89:J98)</f>
        <v>175899072.25000006</v>
      </c>
      <c r="K107" s="1">
        <v>175599072.25000003</v>
      </c>
      <c r="L107" s="1">
        <f t="shared" si="121"/>
        <v>176199072</v>
      </c>
      <c r="M107" s="1">
        <f t="shared" si="54"/>
        <v>138.45850408067119</v>
      </c>
      <c r="O107" s="1">
        <f t="shared" ref="O107:P107" si="123">SUM(O89:O98)</f>
        <v>355195928</v>
      </c>
      <c r="P107" s="1">
        <f t="shared" si="123"/>
        <v>145617067</v>
      </c>
      <c r="Q107" s="1">
        <f t="shared" ref="Q107:R107" si="124">SUM(Q89:Q98)</f>
        <v>147047521</v>
      </c>
      <c r="R107" s="1">
        <f t="shared" si="124"/>
        <v>497916074</v>
      </c>
      <c r="S107" s="1">
        <f t="shared" ref="S107:U107" si="125">SUM(S89:S98)</f>
        <v>355195928</v>
      </c>
      <c r="T107" s="1">
        <f t="shared" si="125"/>
        <v>198158042</v>
      </c>
      <c r="U107" s="1">
        <f t="shared" si="125"/>
        <v>507201244.69999999</v>
      </c>
      <c r="V107" s="1">
        <f t="shared" ref="V107:W107" si="126">SUM(V89:V98)</f>
        <v>400687873.69999999</v>
      </c>
      <c r="W107" s="1">
        <f t="shared" si="126"/>
        <v>401087873.69999999</v>
      </c>
      <c r="X107" s="120">
        <f t="shared" si="56"/>
        <v>49.454464436416515</v>
      </c>
      <c r="AA107" s="1">
        <f t="shared" ref="AA107:AC107" si="127">SUM(AA89:AA98)</f>
        <v>445630244.69999999</v>
      </c>
      <c r="AB107" s="1">
        <f t="shared" si="127"/>
        <v>106613775</v>
      </c>
      <c r="AC107" s="1">
        <f t="shared" si="127"/>
        <v>229527729</v>
      </c>
      <c r="AD107" s="71">
        <f t="shared" ref="AD107:AI107" si="128">SUM(AD89:AD98)</f>
        <v>295650687</v>
      </c>
      <c r="AE107" s="71">
        <f t="shared" si="128"/>
        <v>0</v>
      </c>
      <c r="AF107" s="71"/>
      <c r="AG107" s="71">
        <f t="shared" si="128"/>
        <v>439978498</v>
      </c>
      <c r="AH107" s="71">
        <f t="shared" si="128"/>
        <v>527974197.59999996</v>
      </c>
      <c r="AI107" s="211">
        <f t="shared" si="128"/>
        <v>775100000</v>
      </c>
      <c r="AJ107" s="211"/>
      <c r="AK107" s="211">
        <f t="shared" ref="AK107:AR107" si="129">SUM(AK89:AK98)</f>
        <v>634823843.86000001</v>
      </c>
      <c r="AL107" s="211">
        <f t="shared" si="129"/>
        <v>0</v>
      </c>
      <c r="AM107" s="211">
        <f t="shared" si="129"/>
        <v>598870983</v>
      </c>
      <c r="AN107" s="211">
        <f t="shared" si="129"/>
        <v>0</v>
      </c>
      <c r="AO107" s="211">
        <f t="shared" si="129"/>
        <v>0</v>
      </c>
      <c r="AP107" s="211">
        <f t="shared" si="129"/>
        <v>694124834</v>
      </c>
      <c r="AQ107" s="211">
        <f t="shared" si="129"/>
        <v>530735449</v>
      </c>
      <c r="AR107" s="211">
        <f t="shared" si="129"/>
        <v>163389385</v>
      </c>
      <c r="AS107" s="445">
        <f t="shared" si="46"/>
        <v>76.46109503697717</v>
      </c>
      <c r="AT107" s="211">
        <f t="shared" ref="AT107:AU107" si="130">SUM(AT89:AT98)</f>
        <v>584866049</v>
      </c>
      <c r="AU107" s="211">
        <f t="shared" si="130"/>
        <v>109258785</v>
      </c>
      <c r="AV107" s="211"/>
      <c r="AW107" s="211">
        <f t="shared" ref="AW107:AX107" si="131">SUM(AW89:AW98)</f>
        <v>646008844</v>
      </c>
      <c r="AX107" s="211">
        <f t="shared" si="131"/>
        <v>296671466</v>
      </c>
      <c r="AY107" s="211">
        <f t="shared" ref="AY107:BA107" si="132">SUM(AY89:AY98)</f>
        <v>263062762</v>
      </c>
      <c r="AZ107" s="211">
        <f>SUM(AZ89:AZ98)</f>
        <v>263062762</v>
      </c>
      <c r="BA107" s="211">
        <f t="shared" si="132"/>
        <v>263062762</v>
      </c>
      <c r="BB107" s="501">
        <f t="shared" ref="BB107:BF107" si="133">SUM(BB89:BB98)</f>
        <v>271062762</v>
      </c>
      <c r="BC107" s="501">
        <f t="shared" si="133"/>
        <v>257998045</v>
      </c>
      <c r="BD107" s="501">
        <f t="shared" si="133"/>
        <v>130401217</v>
      </c>
      <c r="BE107" s="501">
        <f t="shared" si="133"/>
        <v>144207420</v>
      </c>
      <c r="BF107" s="221">
        <f t="shared" si="133"/>
        <v>149746898</v>
      </c>
      <c r="BG107" s="359">
        <f t="shared" ref="BG107:BL107" si="134">SUM(BG89:BG98)</f>
        <v>179696277.60000002</v>
      </c>
      <c r="BH107" s="569">
        <f t="shared" si="134"/>
        <v>190000000</v>
      </c>
      <c r="BI107" s="501">
        <f t="shared" si="134"/>
        <v>449151028</v>
      </c>
      <c r="BJ107" s="569">
        <f t="shared" si="134"/>
        <v>79821345</v>
      </c>
      <c r="BK107" s="65">
        <f t="shared" si="134"/>
        <v>102611012</v>
      </c>
      <c r="BL107" s="65">
        <f t="shared" si="134"/>
        <v>20677440</v>
      </c>
      <c r="BM107" s="65">
        <f t="shared" ref="BM107" si="135">SUM(BM89:BM98)</f>
        <v>361748919.63</v>
      </c>
      <c r="BN107" s="65">
        <f t="shared" ref="BN107" si="136">SUM(BN89:BN98)</f>
        <v>361748919.63</v>
      </c>
      <c r="BO107" s="65">
        <f t="shared" ref="BO107" si="137">SUM(BO89:BO98)</f>
        <v>77631094</v>
      </c>
      <c r="BP107" s="65">
        <f t="shared" ref="BP107:BQ107" si="138">SUM(BP89:BP98)</f>
        <v>93157312.799999997</v>
      </c>
      <c r="BQ107" s="65">
        <f t="shared" si="138"/>
        <v>984677089</v>
      </c>
      <c r="BR107" s="65">
        <f t="shared" ref="BR107:BS107" si="139">SUM(BR89:BR98)</f>
        <v>975237209</v>
      </c>
      <c r="BS107" s="65">
        <f t="shared" si="139"/>
        <v>956615083</v>
      </c>
      <c r="BT107" s="739">
        <f t="shared" ref="BT107:BV107" si="140">SUM(BT89:BT98)</f>
        <v>976015083</v>
      </c>
      <c r="BU107" s="739">
        <f t="shared" si="140"/>
        <v>0</v>
      </c>
      <c r="BV107" s="739">
        <f t="shared" si="140"/>
        <v>25756400</v>
      </c>
    </row>
    <row r="108" spans="1:74" x14ac:dyDescent="0.25">
      <c r="A108" s="11" t="s">
        <v>5</v>
      </c>
      <c r="B108" s="12"/>
      <c r="C108" s="1">
        <f>C103-C104</f>
        <v>17822976.200000048</v>
      </c>
      <c r="D108" s="1">
        <f t="shared" ref="D108:L108" si="141">D103-D104</f>
        <v>297587246.65999997</v>
      </c>
      <c r="E108" s="1">
        <f t="shared" si="141"/>
        <v>49635613.640000105</v>
      </c>
      <c r="F108" s="1">
        <f t="shared" si="141"/>
        <v>189209111</v>
      </c>
      <c r="G108" s="1">
        <f t="shared" ref="G108:H108" si="142">G103-G104</f>
        <v>0</v>
      </c>
      <c r="H108" s="1">
        <f t="shared" si="142"/>
        <v>182019583</v>
      </c>
      <c r="I108" s="1">
        <f t="shared" si="53"/>
        <v>198566817.81818181</v>
      </c>
      <c r="J108" s="1">
        <f t="shared" ref="J108" si="143">J103-J104</f>
        <v>-163338374.76007873</v>
      </c>
      <c r="K108" s="1">
        <v>-131153218.16674548</v>
      </c>
      <c r="L108" s="1" t="e">
        <f t="shared" si="141"/>
        <v>#REF!</v>
      </c>
      <c r="M108" s="1" t="e">
        <f t="shared" si="54"/>
        <v>#REF!</v>
      </c>
      <c r="O108" s="1">
        <f t="shared" ref="O108:P108" si="144">O103-O104</f>
        <v>0</v>
      </c>
      <c r="P108" s="1">
        <f t="shared" si="144"/>
        <v>340730797</v>
      </c>
      <c r="Q108" s="1">
        <f t="shared" ref="Q108:R108" si="145">Q103-Q104</f>
        <v>333265773</v>
      </c>
      <c r="R108" s="1">
        <f t="shared" si="145"/>
        <v>-549294698.47109997</v>
      </c>
      <c r="S108" s="1">
        <f t="shared" ref="S108:U108" si="146">S103-S104</f>
        <v>0</v>
      </c>
      <c r="T108" s="1">
        <f t="shared" si="146"/>
        <v>306643282</v>
      </c>
      <c r="U108" s="1">
        <f t="shared" si="146"/>
        <v>-549674119.88000011</v>
      </c>
      <c r="V108" s="1">
        <f t="shared" ref="V108:W108" si="147">V103-V104</f>
        <v>-286496748.88000011</v>
      </c>
      <c r="W108" s="1">
        <f t="shared" si="147"/>
        <v>-301157023.88000011</v>
      </c>
      <c r="X108" s="120">
        <f t="shared" si="56"/>
        <v>-107.03202853043136</v>
      </c>
      <c r="AA108" s="1">
        <f t="shared" ref="AA108:AC108" si="148">AA103-AA104</f>
        <v>6412999.5499998331</v>
      </c>
      <c r="AB108" s="1">
        <f t="shared" si="148"/>
        <v>235357040</v>
      </c>
      <c r="AC108" s="1">
        <f t="shared" si="148"/>
        <v>226015299</v>
      </c>
      <c r="AD108" s="71">
        <f t="shared" ref="AD108:AI108" si="149">AD103-AD104</f>
        <v>-82102843</v>
      </c>
      <c r="AE108" s="71" t="e">
        <f t="shared" si="149"/>
        <v>#DIV/0!</v>
      </c>
      <c r="AF108" s="71"/>
      <c r="AG108" s="71">
        <f t="shared" si="149"/>
        <v>-139938124</v>
      </c>
      <c r="AH108" s="71">
        <f t="shared" si="149"/>
        <v>-138722264.21818185</v>
      </c>
      <c r="AI108" s="211">
        <f t="shared" si="149"/>
        <v>-274350827.55040026</v>
      </c>
      <c r="AJ108" s="211"/>
      <c r="AK108" s="211">
        <f t="shared" ref="AK108:AR108" si="150">AK103-AK104</f>
        <v>54008529.762599945</v>
      </c>
      <c r="AL108" s="211">
        <f t="shared" si="150"/>
        <v>194568846.80000001</v>
      </c>
      <c r="AM108" s="211">
        <f t="shared" si="150"/>
        <v>133015745</v>
      </c>
      <c r="AN108" s="211">
        <f t="shared" si="150"/>
        <v>-179223444</v>
      </c>
      <c r="AO108" s="211">
        <f t="shared" si="150"/>
        <v>-83632656</v>
      </c>
      <c r="AP108" s="211">
        <f t="shared" si="150"/>
        <v>227711</v>
      </c>
      <c r="AQ108" s="418">
        <f t="shared" si="150"/>
        <v>90693214</v>
      </c>
      <c r="AR108" s="211">
        <f t="shared" si="150"/>
        <v>-90465503</v>
      </c>
      <c r="AS108" s="445"/>
      <c r="AT108" s="211">
        <f t="shared" ref="AT108:AU108" si="151">AT103-AT104</f>
        <v>56998889</v>
      </c>
      <c r="AU108" s="211">
        <f t="shared" si="151"/>
        <v>-55403228</v>
      </c>
      <c r="AV108" s="211"/>
      <c r="AW108" s="211">
        <f t="shared" ref="AW108:AX108" si="152">AW103-AW104</f>
        <v>99204125.630000114</v>
      </c>
      <c r="AX108" s="211">
        <f t="shared" si="152"/>
        <v>-76523568.396000028</v>
      </c>
      <c r="AY108" s="211">
        <f t="shared" ref="AY108:BA108" si="153">AY103-AY104</f>
        <v>10611266.643999934</v>
      </c>
      <c r="AZ108" s="211">
        <f>AZ103-AZ104</f>
        <v>28089772.920000076</v>
      </c>
      <c r="BA108" s="211">
        <f t="shared" si="153"/>
        <v>6999483.0799998045</v>
      </c>
      <c r="BB108" s="501">
        <f t="shared" ref="BB108:BF108" si="154">BB103-BB104</f>
        <v>-1</v>
      </c>
      <c r="BC108" s="501">
        <f t="shared" si="154"/>
        <v>1639297</v>
      </c>
      <c r="BD108" s="501">
        <f t="shared" si="154"/>
        <v>91251843</v>
      </c>
      <c r="BE108" s="501">
        <f t="shared" si="154"/>
        <v>76355892</v>
      </c>
      <c r="BF108" s="221">
        <f t="shared" si="154"/>
        <v>63946051</v>
      </c>
      <c r="BG108" s="359">
        <f t="shared" ref="BG108:BI108" si="155">BG103-BG104</f>
        <v>83813808.98181808</v>
      </c>
      <c r="BH108" s="569">
        <f t="shared" si="155"/>
        <v>-0.44000005722045898</v>
      </c>
      <c r="BI108" s="501">
        <f t="shared" si="155"/>
        <v>0</v>
      </c>
      <c r="BJ108" s="501">
        <f t="shared" ref="BJ108:BL108" si="156">BJ103-BJ104</f>
        <v>18410263</v>
      </c>
      <c r="BK108" s="65">
        <f t="shared" si="156"/>
        <v>337714498</v>
      </c>
      <c r="BL108" s="65">
        <f t="shared" si="156"/>
        <v>-100787283.19999993</v>
      </c>
      <c r="BM108" s="65">
        <f t="shared" ref="BM108" si="157">BM103-BM104</f>
        <v>13726079.062000036</v>
      </c>
      <c r="BN108" s="65">
        <f t="shared" ref="BN108" si="158">BN103-BN104</f>
        <v>-2824999.8000001907</v>
      </c>
      <c r="BO108" s="65">
        <f t="shared" ref="BO108" si="159">BO103-BO104</f>
        <v>944452528</v>
      </c>
      <c r="BP108" s="65">
        <f t="shared" ref="BP108:BQ108" si="160">BP103-BP104</f>
        <v>874199219.79999995</v>
      </c>
      <c r="BQ108" s="65">
        <f t="shared" si="160"/>
        <v>-148039364.59000015</v>
      </c>
      <c r="BR108" s="65">
        <f t="shared" ref="BR108:BS108" si="161">BR103-BR104</f>
        <v>-148100423</v>
      </c>
      <c r="BS108" s="65">
        <f t="shared" si="161"/>
        <v>-205023528.86999989</v>
      </c>
      <c r="BT108" s="739">
        <f>BT103-BT104</f>
        <v>13695246.130000114</v>
      </c>
      <c r="BU108" s="821">
        <f>BU103-BU104</f>
        <v>177586483</v>
      </c>
      <c r="BV108" s="739">
        <f>BV103-BV104</f>
        <v>-191969021</v>
      </c>
    </row>
    <row r="109" spans="1:74" x14ac:dyDescent="0.25">
      <c r="AD109" s="71"/>
      <c r="AE109" s="71"/>
      <c r="AF109" s="71"/>
      <c r="AG109" s="71"/>
      <c r="AH109" s="71"/>
      <c r="AI109" s="211"/>
      <c r="AJ109" s="211"/>
      <c r="AK109" s="211"/>
      <c r="AL109" s="71"/>
      <c r="AM109" s="71"/>
      <c r="AP109" s="211"/>
      <c r="AQ109" s="211"/>
      <c r="AR109"/>
      <c r="AS109" s="416"/>
      <c r="AT109" s="211"/>
      <c r="AU109" s="211"/>
      <c r="AV109" s="211"/>
      <c r="AW109" s="211"/>
      <c r="AX109" s="211"/>
      <c r="BC109" s="507"/>
      <c r="BD109" s="507"/>
    </row>
    <row r="110" spans="1:74" x14ac:dyDescent="0.25">
      <c r="AD110" s="71"/>
      <c r="AE110" s="71"/>
      <c r="AF110" s="71"/>
      <c r="AG110" s="71"/>
      <c r="AH110" s="71"/>
      <c r="AI110" s="211"/>
      <c r="AJ110" s="211"/>
      <c r="AK110" s="211"/>
      <c r="AL110" s="71"/>
      <c r="AM110" s="71"/>
      <c r="AP110" s="211"/>
      <c r="AQ110" s="211"/>
      <c r="AR110"/>
      <c r="AS110" s="416"/>
      <c r="AT110" s="14"/>
      <c r="AU110" s="14"/>
      <c r="AV110" s="14"/>
      <c r="BC110" s="507"/>
      <c r="BD110" s="507"/>
    </row>
    <row r="111" spans="1:74" x14ac:dyDescent="0.25">
      <c r="AD111" s="71"/>
      <c r="AE111" s="71"/>
      <c r="AF111" s="71"/>
      <c r="AG111" s="71"/>
      <c r="AH111" s="71"/>
      <c r="AI111" s="211"/>
      <c r="AJ111" s="211"/>
      <c r="AK111" s="211"/>
      <c r="AL111" s="71"/>
      <c r="AM111" s="71"/>
      <c r="AP111" s="211"/>
      <c r="AQ111" s="211"/>
      <c r="AR111"/>
      <c r="AS111" s="416"/>
      <c r="AT111" s="14"/>
      <c r="AU111" s="14"/>
      <c r="AV111" s="14"/>
      <c r="BC111" s="507"/>
      <c r="BD111" s="507"/>
    </row>
    <row r="112" spans="1:74" x14ac:dyDescent="0.25">
      <c r="AD112" s="71"/>
      <c r="AE112" s="71"/>
      <c r="AF112" s="71"/>
      <c r="AG112" s="71"/>
      <c r="AH112" s="71"/>
      <c r="AI112" s="211"/>
      <c r="AJ112" s="211"/>
      <c r="AK112" s="211"/>
      <c r="AL112" s="71"/>
      <c r="AM112" s="71"/>
      <c r="AP112" s="211"/>
      <c r="AQ112" s="211"/>
      <c r="AR112"/>
      <c r="AS112" s="416"/>
      <c r="AT112" s="14"/>
      <c r="AU112" s="14"/>
      <c r="AV112" s="14"/>
      <c r="BC112" s="507"/>
      <c r="BD112" s="507"/>
    </row>
    <row r="113" spans="30:56" x14ac:dyDescent="0.25">
      <c r="AD113" s="71"/>
      <c r="AE113" s="71"/>
      <c r="AF113" s="71"/>
      <c r="AG113" s="71"/>
      <c r="AH113" s="71"/>
      <c r="AI113" s="211"/>
      <c r="AJ113" s="211"/>
      <c r="AK113" s="211"/>
      <c r="AL113" s="71"/>
      <c r="AM113" s="71"/>
      <c r="AP113" s="211"/>
      <c r="AQ113" s="211"/>
      <c r="AR113"/>
      <c r="AS113" s="416"/>
      <c r="AT113" s="14"/>
      <c r="AU113" s="14"/>
      <c r="AV113" s="14"/>
      <c r="BC113" s="507"/>
      <c r="BD113" s="507"/>
    </row>
    <row r="114" spans="30:56" x14ac:dyDescent="0.25">
      <c r="AD114" s="71"/>
      <c r="AE114" s="71"/>
      <c r="AF114" s="71"/>
      <c r="AG114" s="71"/>
      <c r="AH114" s="71"/>
      <c r="AI114" s="211"/>
      <c r="AJ114" s="211"/>
      <c r="AK114" s="211"/>
      <c r="AL114" s="71"/>
      <c r="AM114" s="71"/>
      <c r="AP114" s="211"/>
      <c r="AQ114" s="211"/>
      <c r="AR114"/>
      <c r="AS114" s="416"/>
      <c r="AT114" s="14"/>
      <c r="AU114" s="14"/>
      <c r="AV114" s="14"/>
      <c r="BC114" s="507"/>
      <c r="BD114" s="507"/>
    </row>
    <row r="115" spans="30:56" x14ac:dyDescent="0.25">
      <c r="AD115" s="71"/>
      <c r="AE115" s="71"/>
      <c r="AF115" s="71"/>
      <c r="AG115" s="71"/>
      <c r="AH115" s="71"/>
      <c r="AI115" s="211"/>
      <c r="AJ115" s="211"/>
      <c r="AK115" s="211"/>
      <c r="AL115" s="71"/>
      <c r="AM115" s="71"/>
      <c r="AP115" s="211"/>
      <c r="AQ115" s="211"/>
      <c r="AR115"/>
      <c r="AS115" s="416"/>
      <c r="AT115" s="14"/>
      <c r="AU115" s="14"/>
      <c r="AV115" s="14"/>
      <c r="BC115" s="507"/>
      <c r="BD115" s="507"/>
    </row>
    <row r="116" spans="30:56" x14ac:dyDescent="0.25">
      <c r="AD116" s="71"/>
      <c r="AE116" s="71"/>
      <c r="AF116" s="71"/>
      <c r="AG116" s="71"/>
      <c r="AH116" s="71"/>
      <c r="AI116" s="211"/>
      <c r="AJ116" s="211"/>
      <c r="AK116" s="211"/>
      <c r="AL116" s="71"/>
      <c r="AM116" s="71"/>
      <c r="AP116" s="211"/>
      <c r="AQ116" s="211"/>
      <c r="AR116"/>
      <c r="AS116" s="416"/>
      <c r="AT116" s="14"/>
      <c r="AU116" s="14"/>
      <c r="AV116" s="14"/>
      <c r="BC116" s="507"/>
      <c r="BD116" s="507"/>
    </row>
    <row r="117" spans="30:56" x14ac:dyDescent="0.25">
      <c r="AD117" s="71"/>
      <c r="AE117" s="71"/>
      <c r="AF117" s="71"/>
      <c r="AG117" s="71"/>
      <c r="AH117" s="71"/>
      <c r="AI117" s="211"/>
      <c r="AJ117" s="211"/>
      <c r="AK117" s="211"/>
      <c r="AL117" s="71"/>
      <c r="AM117" s="71"/>
      <c r="AP117" s="211"/>
      <c r="AQ117" s="211"/>
      <c r="AR117"/>
      <c r="AS117" s="416"/>
      <c r="AT117" s="14"/>
      <c r="AU117" s="14"/>
      <c r="AV117" s="14"/>
      <c r="BC117" s="507"/>
      <c r="BD117" s="507"/>
    </row>
    <row r="118" spans="30:56" x14ac:dyDescent="0.25">
      <c r="AD118" s="71"/>
      <c r="AE118" s="71"/>
      <c r="AF118" s="71"/>
      <c r="AG118" s="71"/>
      <c r="AH118" s="71"/>
      <c r="AI118" s="211"/>
      <c r="AJ118" s="211"/>
      <c r="AK118" s="211"/>
      <c r="AL118" s="71"/>
      <c r="AM118" s="71"/>
      <c r="AP118" s="211"/>
      <c r="AQ118" s="211"/>
      <c r="AR118"/>
      <c r="AS118" s="416"/>
      <c r="AT118" s="14"/>
      <c r="AU118" s="14"/>
      <c r="AV118" s="14"/>
      <c r="BC118" s="507"/>
      <c r="BD118" s="507"/>
    </row>
    <row r="119" spans="30:56" x14ac:dyDescent="0.25">
      <c r="AD119" s="71"/>
      <c r="AE119" s="71"/>
      <c r="AF119" s="71"/>
      <c r="AG119" s="71"/>
      <c r="AH119" s="71"/>
      <c r="AI119" s="211"/>
      <c r="AJ119" s="211"/>
      <c r="AK119" s="211"/>
      <c r="AL119" s="71"/>
      <c r="AM119" s="71"/>
      <c r="AP119" s="211"/>
      <c r="AQ119" s="211"/>
      <c r="AR119"/>
      <c r="AS119" s="416"/>
      <c r="AT119" s="14"/>
      <c r="AU119" s="14"/>
      <c r="AV119" s="14"/>
      <c r="BC119" s="507"/>
      <c r="BD119" s="507"/>
    </row>
    <row r="120" spans="30:56" x14ac:dyDescent="0.25">
      <c r="AD120" s="71"/>
      <c r="AE120" s="71"/>
      <c r="AF120" s="71"/>
      <c r="AG120" s="71"/>
      <c r="AH120" s="71"/>
      <c r="AI120" s="211"/>
      <c r="AJ120" s="211"/>
      <c r="AK120" s="211"/>
      <c r="AL120" s="71"/>
      <c r="AM120" s="71"/>
      <c r="AP120" s="211"/>
      <c r="AQ120" s="211"/>
      <c r="AR120"/>
      <c r="AS120" s="416"/>
      <c r="AT120" s="14"/>
      <c r="AU120" s="14"/>
      <c r="AV120" s="14"/>
      <c r="BC120" s="507"/>
      <c r="BD120" s="507"/>
    </row>
    <row r="121" spans="30:56" x14ac:dyDescent="0.25">
      <c r="AD121" s="71"/>
      <c r="AE121" s="71"/>
      <c r="AF121" s="71"/>
      <c r="AG121" s="71"/>
      <c r="AH121" s="71"/>
      <c r="AI121" s="211"/>
      <c r="AJ121" s="211"/>
      <c r="AK121" s="211"/>
      <c r="AL121" s="71"/>
      <c r="AM121" s="71"/>
      <c r="AP121" s="211"/>
      <c r="AQ121" s="211"/>
      <c r="AR121"/>
      <c r="AS121" s="416"/>
      <c r="AT121" s="14"/>
      <c r="AU121" s="14"/>
      <c r="AV121" s="14"/>
      <c r="BC121" s="507"/>
      <c r="BD121" s="507"/>
    </row>
    <row r="122" spans="30:56" x14ac:dyDescent="0.25">
      <c r="AD122" s="71"/>
      <c r="AE122" s="71"/>
      <c r="AF122" s="71"/>
      <c r="AG122" s="71"/>
      <c r="AH122" s="71"/>
      <c r="AI122" s="211"/>
      <c r="AJ122" s="211"/>
      <c r="AK122" s="211"/>
      <c r="AL122" s="71"/>
      <c r="AM122" s="71"/>
      <c r="AP122" s="211"/>
      <c r="AQ122" s="211"/>
      <c r="AR122"/>
      <c r="AS122" s="416"/>
      <c r="AT122" s="14"/>
      <c r="AU122" s="14"/>
      <c r="AV122" s="14"/>
      <c r="BC122" s="507"/>
      <c r="BD122" s="507"/>
    </row>
    <row r="123" spans="30:56" x14ac:dyDescent="0.25">
      <c r="AD123" s="71"/>
      <c r="AE123" s="71"/>
      <c r="AF123" s="71"/>
      <c r="AG123" s="71"/>
      <c r="AH123" s="71"/>
      <c r="AI123" s="211"/>
      <c r="AJ123" s="211"/>
      <c r="AK123" s="211"/>
      <c r="AL123" s="71"/>
      <c r="AM123" s="71"/>
      <c r="AP123" s="211"/>
      <c r="AQ123" s="211"/>
      <c r="AR123"/>
      <c r="AS123" s="416"/>
      <c r="AT123" s="14"/>
      <c r="AU123" s="14"/>
      <c r="AV123" s="14"/>
      <c r="BC123" s="507"/>
      <c r="BD123" s="507"/>
    </row>
    <row r="124" spans="30:56" x14ac:dyDescent="0.25">
      <c r="AD124" s="71"/>
      <c r="AE124" s="71"/>
      <c r="AF124" s="71"/>
      <c r="AG124" s="71"/>
      <c r="AH124" s="71"/>
      <c r="AI124" s="211"/>
      <c r="AJ124" s="211"/>
      <c r="AK124" s="211"/>
      <c r="AL124" s="71"/>
      <c r="AM124" s="71"/>
      <c r="AP124" s="211"/>
      <c r="AQ124" s="211"/>
      <c r="AR124"/>
      <c r="AS124" s="416"/>
      <c r="AT124" s="14"/>
      <c r="AU124" s="14"/>
      <c r="AV124" s="14"/>
      <c r="BC124" s="507"/>
      <c r="BD124" s="507"/>
    </row>
    <row r="125" spans="30:56" x14ac:dyDescent="0.25">
      <c r="AD125" s="71"/>
      <c r="AE125" s="71"/>
      <c r="AF125" s="71"/>
      <c r="AG125" s="71"/>
      <c r="AH125" s="71"/>
      <c r="AI125" s="211"/>
      <c r="AJ125" s="211"/>
      <c r="AK125" s="211"/>
      <c r="AL125" s="71"/>
      <c r="AM125" s="71"/>
      <c r="AP125" s="211"/>
      <c r="AQ125" s="211"/>
      <c r="AR125"/>
      <c r="AS125" s="416"/>
      <c r="AT125" s="14"/>
      <c r="AU125" s="14"/>
      <c r="AV125" s="14"/>
      <c r="BC125" s="507"/>
      <c r="BD125" s="507"/>
    </row>
    <row r="126" spans="30:56" x14ac:dyDescent="0.25">
      <c r="AD126" s="71"/>
      <c r="AE126" s="71"/>
      <c r="AF126" s="71"/>
      <c r="AG126" s="71"/>
      <c r="AH126" s="71"/>
      <c r="AI126" s="211"/>
      <c r="AJ126" s="211"/>
      <c r="AK126" s="211"/>
      <c r="AL126" s="71"/>
      <c r="AM126" s="71"/>
      <c r="AP126" s="211"/>
      <c r="AQ126" s="211"/>
      <c r="AR126"/>
      <c r="AS126" s="416"/>
      <c r="AT126" s="14"/>
      <c r="AU126" s="14"/>
      <c r="AV126" s="14"/>
      <c r="BC126" s="507"/>
      <c r="BD126" s="507"/>
    </row>
    <row r="127" spans="30:56" x14ac:dyDescent="0.25">
      <c r="AD127" s="71"/>
      <c r="AE127" s="71"/>
      <c r="AF127" s="71"/>
      <c r="AG127" s="71"/>
      <c r="AH127" s="71"/>
      <c r="AI127" s="211"/>
      <c r="AJ127" s="211"/>
      <c r="AK127" s="211"/>
      <c r="AL127" s="71"/>
      <c r="AM127" s="71"/>
      <c r="AP127" s="211"/>
      <c r="AQ127" s="211"/>
      <c r="AR127"/>
      <c r="AS127" s="416"/>
      <c r="BC127" s="507"/>
      <c r="BD127" s="507"/>
    </row>
    <row r="128" spans="30:56" x14ac:dyDescent="0.25">
      <c r="AD128" s="71"/>
      <c r="AE128" s="71"/>
      <c r="AF128" s="71"/>
      <c r="AG128" s="71"/>
      <c r="AH128" s="71"/>
      <c r="AI128" s="211"/>
      <c r="AJ128" s="211"/>
      <c r="AK128" s="211"/>
      <c r="AL128" s="71"/>
      <c r="AM128" s="71"/>
      <c r="AP128" s="211"/>
      <c r="AQ128" s="211"/>
      <c r="AR128"/>
      <c r="AS128" s="416"/>
      <c r="BC128" s="507"/>
      <c r="BD128" s="507"/>
    </row>
    <row r="129" spans="30:56" x14ac:dyDescent="0.25">
      <c r="AD129" s="71"/>
      <c r="AE129" s="71"/>
      <c r="AF129" s="71"/>
      <c r="AG129" s="71"/>
      <c r="AH129" s="71"/>
      <c r="AI129" s="211"/>
      <c r="AJ129" s="211"/>
      <c r="AK129" s="211"/>
      <c r="AL129" s="71"/>
      <c r="AM129" s="71"/>
      <c r="AP129" s="211"/>
      <c r="AQ129" s="211"/>
      <c r="AR129"/>
      <c r="AS129" s="416"/>
      <c r="BC129" s="507"/>
      <c r="BD129" s="507"/>
    </row>
    <row r="130" spans="30:56" x14ac:dyDescent="0.25">
      <c r="AD130" s="71"/>
      <c r="AE130" s="71"/>
      <c r="AF130" s="71"/>
      <c r="AG130" s="71"/>
      <c r="AH130" s="71"/>
      <c r="AI130" s="211"/>
      <c r="AJ130" s="211"/>
      <c r="AK130" s="211"/>
      <c r="AL130" s="71"/>
      <c r="AM130" s="71"/>
      <c r="AP130" s="211"/>
      <c r="AQ130" s="211"/>
      <c r="AR130"/>
      <c r="AS130" s="416"/>
      <c r="BC130" s="507"/>
      <c r="BD130" s="507"/>
    </row>
    <row r="131" spans="30:56" x14ac:dyDescent="0.25">
      <c r="AD131" s="71"/>
      <c r="AE131" s="71"/>
      <c r="AF131" s="71"/>
      <c r="AG131" s="71"/>
      <c r="AH131" s="71"/>
      <c r="AI131" s="211"/>
      <c r="AJ131" s="211"/>
      <c r="AK131" s="211"/>
      <c r="AL131" s="71"/>
      <c r="AM131" s="71"/>
      <c r="AP131" s="211"/>
      <c r="AQ131" s="211"/>
      <c r="AR131"/>
      <c r="AS131" s="416"/>
      <c r="BC131" s="507"/>
      <c r="BD131" s="507"/>
    </row>
    <row r="132" spans="30:56" x14ac:dyDescent="0.25">
      <c r="AD132" s="71"/>
      <c r="AE132" s="71"/>
      <c r="AF132" s="71"/>
      <c r="AG132" s="71"/>
      <c r="AH132" s="71"/>
      <c r="AI132" s="211"/>
      <c r="AJ132" s="211"/>
      <c r="AK132" s="211"/>
      <c r="AL132" s="71"/>
      <c r="AM132" s="71"/>
      <c r="AP132" s="211"/>
      <c r="AQ132" s="211"/>
      <c r="AR132"/>
      <c r="AS132" s="416"/>
      <c r="BC132" s="507"/>
      <c r="BD132" s="507"/>
    </row>
    <row r="133" spans="30:56" x14ac:dyDescent="0.25">
      <c r="AD133" s="71"/>
      <c r="AE133" s="71"/>
      <c r="AF133" s="71"/>
      <c r="AG133" s="71"/>
      <c r="AH133" s="71"/>
      <c r="AI133" s="211"/>
      <c r="AJ133" s="211"/>
      <c r="AK133" s="211"/>
      <c r="AL133" s="71"/>
      <c r="AM133" s="71"/>
      <c r="AP133" s="211"/>
      <c r="AQ133" s="211"/>
      <c r="AR133"/>
      <c r="AS133" s="416"/>
      <c r="BC133" s="507"/>
      <c r="BD133" s="507"/>
    </row>
    <row r="134" spans="30:56" x14ac:dyDescent="0.25">
      <c r="AD134" s="71"/>
      <c r="AE134" s="71"/>
      <c r="AF134" s="71"/>
      <c r="AG134" s="71"/>
      <c r="AH134" s="71"/>
      <c r="AI134" s="211"/>
      <c r="AJ134" s="211"/>
      <c r="AK134" s="211"/>
      <c r="AL134" s="71"/>
      <c r="AM134" s="71"/>
      <c r="AP134" s="211"/>
      <c r="AQ134" s="211"/>
      <c r="AR134"/>
      <c r="AS134" s="416"/>
      <c r="BC134" s="507"/>
      <c r="BD134" s="507"/>
    </row>
    <row r="135" spans="30:56" x14ac:dyDescent="0.25">
      <c r="AD135" s="71"/>
      <c r="AE135" s="71"/>
      <c r="AF135" s="71"/>
      <c r="AG135" s="71"/>
      <c r="AH135" s="71"/>
      <c r="AI135" s="211"/>
      <c r="AJ135" s="211"/>
      <c r="AK135" s="211"/>
      <c r="AL135" s="71"/>
      <c r="AM135" s="71"/>
      <c r="AP135" s="211"/>
      <c r="AQ135" s="211"/>
      <c r="AR135"/>
      <c r="AS135" s="416"/>
      <c r="BC135" s="507"/>
      <c r="BD135" s="507"/>
    </row>
    <row r="136" spans="30:56" x14ac:dyDescent="0.25">
      <c r="AD136" s="71"/>
      <c r="AE136" s="71"/>
      <c r="AF136" s="71"/>
      <c r="AG136" s="71"/>
      <c r="AH136" s="71"/>
      <c r="AI136" s="211"/>
      <c r="AJ136" s="211"/>
      <c r="AK136" s="211"/>
      <c r="AL136" s="71"/>
      <c r="AM136" s="71"/>
      <c r="AP136" s="211"/>
      <c r="AQ136" s="211"/>
      <c r="AR136"/>
      <c r="AS136" s="416"/>
      <c r="BC136" s="507"/>
      <c r="BD136" s="507"/>
    </row>
    <row r="137" spans="30:56" x14ac:dyDescent="0.25">
      <c r="AD137" s="71"/>
      <c r="AE137" s="71"/>
      <c r="AF137" s="71"/>
      <c r="AG137" s="71"/>
      <c r="AH137" s="71"/>
      <c r="AI137" s="211"/>
      <c r="AJ137" s="211"/>
      <c r="AK137" s="211"/>
      <c r="AL137" s="71"/>
      <c r="AM137" s="71"/>
      <c r="AP137" s="211"/>
      <c r="AQ137" s="211"/>
      <c r="AR137"/>
      <c r="AS137" s="416"/>
      <c r="BC137" s="507"/>
      <c r="BD137" s="507"/>
    </row>
    <row r="138" spans="30:56" x14ac:dyDescent="0.25">
      <c r="AD138" s="71"/>
      <c r="AE138" s="71"/>
      <c r="AF138" s="71"/>
      <c r="AG138" s="71"/>
      <c r="AH138" s="71"/>
      <c r="AI138" s="211"/>
      <c r="AJ138" s="211"/>
      <c r="AK138" s="211"/>
      <c r="AL138" s="71"/>
      <c r="AM138" s="71"/>
      <c r="AP138" s="211"/>
      <c r="AQ138" s="211"/>
      <c r="AR138"/>
      <c r="AS138" s="416"/>
      <c r="BC138" s="507"/>
      <c r="BD138" s="507"/>
    </row>
    <row r="139" spans="30:56" x14ac:dyDescent="0.25">
      <c r="AD139" s="71"/>
      <c r="AE139" s="71"/>
      <c r="AF139" s="71"/>
      <c r="AG139" s="71"/>
      <c r="AH139" s="71"/>
      <c r="AI139" s="211"/>
      <c r="AJ139" s="211"/>
      <c r="AK139" s="211"/>
      <c r="AL139" s="71"/>
      <c r="AM139" s="71"/>
      <c r="AP139" s="211"/>
      <c r="AQ139" s="211"/>
      <c r="AR139"/>
      <c r="AS139" s="416"/>
      <c r="BC139" s="507"/>
      <c r="BD139" s="507"/>
    </row>
    <row r="140" spans="30:56" x14ac:dyDescent="0.25">
      <c r="AD140" s="71"/>
      <c r="AE140" s="71"/>
      <c r="AF140" s="71"/>
      <c r="AG140" s="71"/>
      <c r="AH140" s="71"/>
      <c r="AI140" s="211"/>
      <c r="AJ140" s="211"/>
      <c r="AK140" s="211"/>
      <c r="AL140" s="71"/>
      <c r="AM140" s="71"/>
      <c r="AP140" s="211"/>
      <c r="AQ140" s="211"/>
      <c r="AR140"/>
      <c r="AS140" s="416"/>
      <c r="BC140" s="507"/>
      <c r="BD140" s="507"/>
    </row>
    <row r="141" spans="30:56" x14ac:dyDescent="0.25">
      <c r="AD141" s="71"/>
      <c r="AE141" s="71"/>
      <c r="AF141" s="71"/>
      <c r="AG141" s="71"/>
      <c r="AH141" s="71"/>
      <c r="AI141" s="211"/>
      <c r="AJ141" s="211"/>
      <c r="AK141" s="211"/>
      <c r="AL141" s="71"/>
      <c r="AM141" s="71"/>
      <c r="AP141" s="211"/>
      <c r="AQ141" s="211"/>
      <c r="AR141"/>
      <c r="AS141" s="416"/>
      <c r="BC141" s="507"/>
      <c r="BD141" s="507"/>
    </row>
    <row r="142" spans="30:56" x14ac:dyDescent="0.25">
      <c r="AD142" s="71"/>
      <c r="AE142" s="71"/>
      <c r="AF142" s="71"/>
      <c r="AG142" s="71"/>
      <c r="AH142" s="71"/>
      <c r="AI142" s="211"/>
      <c r="AJ142" s="211"/>
      <c r="AK142" s="211"/>
      <c r="AL142" s="71"/>
      <c r="AM142" s="71"/>
      <c r="AP142" s="211"/>
      <c r="AQ142" s="211"/>
      <c r="AR142"/>
      <c r="AS142" s="416"/>
      <c r="BC142" s="507"/>
      <c r="BD142" s="507"/>
    </row>
    <row r="143" spans="30:56" x14ac:dyDescent="0.25">
      <c r="AD143" s="71"/>
      <c r="AE143" s="71"/>
      <c r="AF143" s="71"/>
      <c r="AG143" s="71"/>
      <c r="AH143" s="71"/>
      <c r="AI143" s="211"/>
      <c r="AJ143" s="211"/>
      <c r="AK143" s="211"/>
      <c r="AL143" s="71"/>
      <c r="AM143" s="71"/>
      <c r="AP143" s="211"/>
      <c r="AQ143" s="211"/>
      <c r="AR143"/>
      <c r="AS143" s="416"/>
      <c r="BC143" s="507"/>
      <c r="BD143" s="507"/>
    </row>
    <row r="144" spans="30:56" x14ac:dyDescent="0.25">
      <c r="AD144" s="71"/>
      <c r="AE144" s="71"/>
      <c r="AF144" s="71"/>
      <c r="AG144" s="71"/>
      <c r="AH144" s="71"/>
      <c r="AI144" s="211"/>
      <c r="AJ144" s="211"/>
      <c r="AK144" s="211"/>
      <c r="AL144" s="71"/>
      <c r="AM144" s="71"/>
      <c r="AP144" s="211"/>
      <c r="AQ144" s="211"/>
      <c r="AR144"/>
      <c r="AS144" s="416"/>
      <c r="BC144" s="507"/>
      <c r="BD144" s="507"/>
    </row>
    <row r="145" spans="30:56" x14ac:dyDescent="0.25">
      <c r="AD145" s="71"/>
      <c r="AE145" s="71"/>
      <c r="AF145" s="71"/>
      <c r="AG145" s="71"/>
      <c r="AH145" s="71"/>
      <c r="AI145" s="211"/>
      <c r="AJ145" s="211"/>
      <c r="AK145" s="211"/>
      <c r="AL145" s="71"/>
      <c r="AM145" s="71"/>
      <c r="AP145" s="211"/>
      <c r="AQ145" s="211"/>
      <c r="AR145"/>
      <c r="AS145" s="416"/>
      <c r="BC145" s="507"/>
      <c r="BD145" s="507"/>
    </row>
    <row r="146" spans="30:56" x14ac:dyDescent="0.25">
      <c r="AD146" s="71"/>
      <c r="AE146" s="71"/>
      <c r="AF146" s="71"/>
      <c r="AG146" s="71"/>
      <c r="AH146" s="71"/>
      <c r="AI146" s="211"/>
      <c r="AJ146" s="211"/>
      <c r="AK146" s="211"/>
      <c r="AL146" s="71"/>
      <c r="AM146" s="71"/>
      <c r="AP146" s="211"/>
      <c r="AQ146" s="211"/>
      <c r="AR146"/>
      <c r="AS146" s="416"/>
      <c r="BC146" s="507"/>
      <c r="BD146" s="507"/>
    </row>
    <row r="147" spans="30:56" x14ac:dyDescent="0.25">
      <c r="AD147" s="71"/>
      <c r="AE147" s="71"/>
      <c r="AF147" s="71"/>
      <c r="AG147" s="71"/>
      <c r="AH147" s="71"/>
      <c r="AI147" s="211"/>
      <c r="AJ147" s="211"/>
      <c r="AK147" s="211"/>
      <c r="AL147" s="71"/>
      <c r="AM147" s="71"/>
      <c r="AP147" s="211"/>
      <c r="AQ147" s="211"/>
      <c r="AR147"/>
      <c r="AS147" s="416"/>
      <c r="BC147" s="507"/>
      <c r="BD147" s="507"/>
    </row>
    <row r="148" spans="30:56" x14ac:dyDescent="0.25">
      <c r="AD148" s="71"/>
      <c r="AE148" s="71"/>
      <c r="AF148" s="71"/>
      <c r="AG148" s="71"/>
      <c r="AH148" s="71"/>
      <c r="AI148" s="211"/>
      <c r="AJ148" s="211"/>
      <c r="AK148" s="211"/>
      <c r="AL148" s="71"/>
      <c r="AM148" s="71"/>
      <c r="AP148" s="211"/>
      <c r="AQ148" s="211"/>
      <c r="AR148"/>
      <c r="AS148" s="416"/>
      <c r="BC148" s="507"/>
      <c r="BD148" s="507"/>
    </row>
    <row r="149" spans="30:56" x14ac:dyDescent="0.25">
      <c r="AD149" s="71"/>
      <c r="AE149" s="71"/>
      <c r="AF149" s="71"/>
      <c r="AG149" s="71"/>
      <c r="AH149" s="71"/>
      <c r="AI149" s="211"/>
      <c r="AJ149" s="211"/>
      <c r="AK149" s="211"/>
      <c r="AL149" s="71"/>
      <c r="AM149" s="71"/>
      <c r="AP149" s="211"/>
      <c r="AQ149" s="211"/>
      <c r="AR149"/>
      <c r="AS149" s="416"/>
      <c r="BC149" s="507"/>
      <c r="BD149" s="507"/>
    </row>
    <row r="150" spans="30:56" x14ac:dyDescent="0.25">
      <c r="AD150" s="71"/>
      <c r="AE150" s="71"/>
      <c r="AF150" s="71"/>
      <c r="AG150" s="71"/>
      <c r="AH150" s="71"/>
      <c r="AI150" s="211"/>
      <c r="AJ150" s="211"/>
      <c r="AK150" s="211"/>
      <c r="AL150" s="71"/>
      <c r="AM150" s="71"/>
      <c r="AP150" s="211"/>
      <c r="AQ150" s="211"/>
      <c r="AR150"/>
      <c r="AS150" s="416"/>
      <c r="BC150" s="507"/>
      <c r="BD150" s="507"/>
    </row>
    <row r="151" spans="30:56" x14ac:dyDescent="0.25">
      <c r="AD151" s="71"/>
      <c r="AE151" s="71"/>
      <c r="AF151" s="71"/>
      <c r="AG151" s="71"/>
      <c r="AH151" s="71"/>
      <c r="AI151" s="211"/>
      <c r="AJ151" s="211"/>
      <c r="AK151" s="211"/>
      <c r="AL151" s="71"/>
      <c r="AM151" s="71"/>
      <c r="AP151" s="211"/>
      <c r="AQ151" s="211"/>
      <c r="AR151"/>
      <c r="AS151" s="416"/>
      <c r="BC151" s="507"/>
      <c r="BD151" s="507"/>
    </row>
    <row r="152" spans="30:56" x14ac:dyDescent="0.25">
      <c r="AD152" s="71"/>
      <c r="AE152" s="71"/>
      <c r="AF152" s="71"/>
      <c r="AG152" s="71"/>
      <c r="AH152" s="71"/>
      <c r="AI152" s="211"/>
      <c r="AJ152" s="211"/>
      <c r="AK152" s="211"/>
      <c r="AL152" s="71"/>
      <c r="AM152" s="71"/>
      <c r="AP152" s="211"/>
      <c r="AQ152" s="211"/>
      <c r="AR152"/>
      <c r="AS152" s="416"/>
      <c r="BC152" s="507"/>
      <c r="BD152" s="507"/>
    </row>
    <row r="153" spans="30:56" x14ac:dyDescent="0.25">
      <c r="AD153" s="71"/>
      <c r="AE153" s="71"/>
      <c r="AF153" s="71"/>
      <c r="AG153" s="71"/>
      <c r="AH153" s="71"/>
      <c r="AI153" s="211"/>
      <c r="AJ153" s="211"/>
      <c r="AK153" s="211"/>
      <c r="AL153" s="71"/>
      <c r="AM153" s="71"/>
      <c r="AP153" s="211"/>
      <c r="AQ153" s="211"/>
      <c r="AR153"/>
      <c r="AS153" s="416"/>
      <c r="BC153" s="507"/>
      <c r="BD153" s="507"/>
    </row>
    <row r="154" spans="30:56" x14ac:dyDescent="0.25">
      <c r="AD154" s="71"/>
      <c r="AE154" s="71"/>
      <c r="AF154" s="71"/>
      <c r="AG154" s="71"/>
      <c r="AH154" s="71"/>
      <c r="AI154" s="211"/>
      <c r="AJ154" s="211"/>
      <c r="AK154" s="211"/>
      <c r="AL154" s="71"/>
      <c r="AM154" s="71"/>
      <c r="AP154" s="211"/>
      <c r="AQ154" s="211"/>
      <c r="AR154"/>
      <c r="AS154" s="416"/>
      <c r="BC154" s="507"/>
      <c r="BD154" s="507"/>
    </row>
    <row r="155" spans="30:56" x14ac:dyDescent="0.25">
      <c r="AD155" s="71"/>
      <c r="AE155" s="71"/>
      <c r="AF155" s="71"/>
      <c r="AG155" s="71"/>
      <c r="AH155" s="71"/>
      <c r="AI155" s="211"/>
      <c r="AJ155" s="211"/>
      <c r="AK155" s="211"/>
      <c r="AL155" s="71"/>
      <c r="AM155" s="71"/>
      <c r="AP155" s="211"/>
      <c r="AQ155" s="211"/>
      <c r="AR155"/>
      <c r="AS155" s="416"/>
      <c r="BC155" s="507"/>
      <c r="BD155" s="507"/>
    </row>
    <row r="156" spans="30:56" x14ac:dyDescent="0.25">
      <c r="AD156" s="71"/>
      <c r="AE156" s="71"/>
      <c r="AF156" s="71"/>
      <c r="AG156" s="71"/>
      <c r="AH156" s="71"/>
      <c r="AI156" s="211"/>
      <c r="AJ156" s="211"/>
      <c r="AK156" s="211"/>
      <c r="AL156" s="71"/>
      <c r="AM156" s="71"/>
      <c r="AP156" s="211"/>
      <c r="AQ156" s="211"/>
      <c r="AR156"/>
      <c r="AS156" s="416"/>
      <c r="BC156" s="507"/>
      <c r="BD156" s="507"/>
    </row>
    <row r="157" spans="30:56" x14ac:dyDescent="0.25">
      <c r="AD157" s="71"/>
      <c r="AE157" s="71"/>
      <c r="AF157" s="71"/>
      <c r="AG157" s="71"/>
      <c r="AH157" s="71"/>
      <c r="AI157" s="211"/>
      <c r="AJ157" s="211"/>
      <c r="AK157" s="211"/>
      <c r="AL157" s="71"/>
      <c r="AM157" s="71"/>
      <c r="AP157" s="211"/>
      <c r="AQ157" s="211"/>
      <c r="AR157"/>
      <c r="AS157" s="416"/>
      <c r="BC157" s="507"/>
      <c r="BD157" s="507"/>
    </row>
    <row r="158" spans="30:56" x14ac:dyDescent="0.25">
      <c r="AD158" s="71"/>
      <c r="AE158" s="71"/>
      <c r="AF158" s="71"/>
      <c r="AG158" s="71"/>
      <c r="AH158" s="71"/>
      <c r="AI158" s="211"/>
      <c r="AJ158" s="211"/>
      <c r="AK158" s="211"/>
      <c r="AL158" s="71"/>
      <c r="AM158" s="71"/>
      <c r="AP158" s="211"/>
      <c r="AQ158" s="211"/>
      <c r="AR158"/>
      <c r="AS158" s="416"/>
      <c r="BC158" s="507"/>
      <c r="BD158" s="507"/>
    </row>
    <row r="159" spans="30:56" x14ac:dyDescent="0.25">
      <c r="AD159" s="71"/>
      <c r="AE159" s="71"/>
      <c r="AF159" s="71"/>
      <c r="AG159" s="71"/>
      <c r="AH159" s="71"/>
      <c r="AI159" s="211"/>
      <c r="AJ159" s="211"/>
      <c r="AK159" s="211"/>
      <c r="AL159" s="71"/>
      <c r="AM159" s="71"/>
      <c r="AP159" s="211"/>
      <c r="AQ159" s="211"/>
      <c r="AR159"/>
      <c r="AS159" s="416"/>
      <c r="BC159" s="507"/>
      <c r="BD159" s="507"/>
    </row>
    <row r="160" spans="30:56" x14ac:dyDescent="0.25">
      <c r="AD160" s="71"/>
      <c r="AE160" s="71"/>
      <c r="AF160" s="71"/>
      <c r="AG160" s="71"/>
      <c r="AH160" s="71"/>
      <c r="AI160" s="211"/>
      <c r="AJ160" s="211"/>
      <c r="AK160" s="211"/>
      <c r="AL160" s="71"/>
      <c r="AM160" s="71"/>
      <c r="AP160" s="211"/>
      <c r="AQ160" s="211"/>
      <c r="AR160"/>
      <c r="AS160" s="416"/>
      <c r="BC160" s="507"/>
      <c r="BD160" s="507"/>
    </row>
    <row r="161" spans="30:56" x14ac:dyDescent="0.25">
      <c r="AD161" s="71"/>
      <c r="AE161" s="71"/>
      <c r="AF161" s="71"/>
      <c r="AG161" s="71"/>
      <c r="AH161" s="71"/>
      <c r="AI161" s="211"/>
      <c r="AJ161" s="211"/>
      <c r="AK161" s="211"/>
      <c r="AL161" s="71"/>
      <c r="AM161" s="71"/>
      <c r="AP161" s="211"/>
      <c r="AQ161" s="211"/>
      <c r="AR161"/>
      <c r="AS161" s="416"/>
      <c r="BC161" s="507"/>
      <c r="BD161" s="507"/>
    </row>
    <row r="162" spans="30:56" x14ac:dyDescent="0.25">
      <c r="AD162" s="71"/>
      <c r="AE162" s="71"/>
      <c r="AF162" s="71"/>
      <c r="AG162" s="71"/>
      <c r="AH162" s="71"/>
      <c r="AI162" s="211"/>
      <c r="AJ162" s="211"/>
      <c r="AK162" s="211"/>
      <c r="AL162" s="71"/>
      <c r="AM162" s="71"/>
      <c r="AP162" s="211"/>
      <c r="AQ162" s="211"/>
      <c r="AR162"/>
      <c r="AS162" s="416"/>
      <c r="BC162" s="507"/>
      <c r="BD162" s="507"/>
    </row>
    <row r="163" spans="30:56" x14ac:dyDescent="0.25">
      <c r="AD163" s="71"/>
      <c r="AE163" s="71"/>
      <c r="AF163" s="71"/>
      <c r="AG163" s="71"/>
      <c r="AH163" s="71"/>
      <c r="AI163" s="211"/>
      <c r="AJ163" s="211"/>
      <c r="AK163" s="211"/>
      <c r="AL163" s="71"/>
      <c r="AM163" s="71"/>
      <c r="AP163" s="211"/>
      <c r="AQ163" s="211"/>
      <c r="AR163"/>
      <c r="AS163" s="416"/>
      <c r="BC163" s="507"/>
      <c r="BD163" s="507"/>
    </row>
    <row r="164" spans="30:56" x14ac:dyDescent="0.25">
      <c r="AD164" s="71"/>
      <c r="AE164" s="71"/>
      <c r="AF164" s="71"/>
      <c r="AG164" s="71"/>
      <c r="AH164" s="71"/>
      <c r="AI164" s="211"/>
      <c r="AJ164" s="211"/>
      <c r="AK164" s="211"/>
      <c r="AL164" s="71"/>
      <c r="AM164" s="71"/>
      <c r="AP164" s="211"/>
      <c r="AQ164" s="211"/>
      <c r="AR164"/>
      <c r="AS164" s="416"/>
      <c r="BC164" s="507"/>
      <c r="BD164" s="507"/>
    </row>
    <row r="165" spans="30:56" x14ac:dyDescent="0.25">
      <c r="AD165" s="71"/>
      <c r="AE165" s="71"/>
      <c r="AF165" s="71"/>
      <c r="AG165" s="71"/>
      <c r="AH165" s="71"/>
      <c r="AI165" s="211"/>
      <c r="AJ165" s="211"/>
      <c r="AK165" s="211"/>
      <c r="AL165" s="71"/>
      <c r="AM165" s="71"/>
      <c r="AP165" s="211"/>
      <c r="AQ165" s="211"/>
      <c r="AR165"/>
      <c r="AS165" s="416"/>
      <c r="BC165" s="507"/>
      <c r="BD165" s="507"/>
    </row>
    <row r="166" spans="30:56" x14ac:dyDescent="0.25">
      <c r="AD166" s="71"/>
      <c r="AE166" s="71"/>
      <c r="AF166" s="71"/>
      <c r="AG166" s="71"/>
      <c r="AH166" s="71"/>
      <c r="AI166" s="211"/>
      <c r="AJ166" s="211"/>
      <c r="AK166" s="211"/>
      <c r="AL166" s="71"/>
      <c r="AM166" s="71"/>
      <c r="AP166" s="211"/>
      <c r="AQ166" s="211"/>
      <c r="AR166"/>
      <c r="AS166" s="416"/>
      <c r="BC166" s="507"/>
      <c r="BD166" s="507"/>
    </row>
    <row r="167" spans="30:56" x14ac:dyDescent="0.25">
      <c r="AD167" s="71"/>
      <c r="AE167" s="71"/>
      <c r="AF167" s="71"/>
      <c r="AG167" s="71"/>
      <c r="AH167" s="71"/>
      <c r="AI167" s="211"/>
      <c r="AJ167" s="211"/>
      <c r="AK167" s="211"/>
      <c r="AL167" s="71"/>
      <c r="AM167" s="71"/>
      <c r="AP167" s="211"/>
      <c r="AQ167" s="211"/>
      <c r="AR167"/>
      <c r="AS167" s="416"/>
      <c r="BC167" s="507"/>
      <c r="BD167" s="507"/>
    </row>
    <row r="168" spans="30:56" x14ac:dyDescent="0.25">
      <c r="AD168" s="71"/>
      <c r="AE168" s="71"/>
      <c r="AF168" s="71"/>
      <c r="AG168" s="71"/>
      <c r="AH168" s="71"/>
      <c r="AI168" s="211"/>
      <c r="AJ168" s="211"/>
      <c r="AK168" s="211"/>
      <c r="AL168" s="71"/>
      <c r="AM168" s="71"/>
      <c r="AP168" s="211"/>
      <c r="AQ168" s="211"/>
      <c r="AR168"/>
      <c r="AS168" s="416"/>
      <c r="BC168" s="507"/>
      <c r="BD168" s="507"/>
    </row>
    <row r="169" spans="30:56" x14ac:dyDescent="0.25">
      <c r="AD169" s="71"/>
      <c r="AE169" s="71"/>
      <c r="AF169" s="71"/>
      <c r="AG169" s="71"/>
      <c r="AH169" s="71"/>
      <c r="AI169" s="211"/>
      <c r="AJ169" s="211"/>
      <c r="AK169" s="211"/>
      <c r="AL169" s="71"/>
      <c r="AM169" s="71"/>
      <c r="AP169" s="211"/>
      <c r="AQ169" s="211"/>
      <c r="AR169"/>
      <c r="AS169" s="416"/>
      <c r="BC169" s="507"/>
      <c r="BD169" s="507"/>
    </row>
    <row r="170" spans="30:56" x14ac:dyDescent="0.25">
      <c r="AD170" s="71"/>
      <c r="AE170" s="71"/>
      <c r="AF170" s="71"/>
      <c r="AG170" s="71"/>
      <c r="AH170" s="71"/>
      <c r="AI170" s="211"/>
      <c r="AJ170" s="211"/>
      <c r="AK170" s="211"/>
      <c r="AL170" s="71"/>
      <c r="AM170" s="71"/>
      <c r="AP170" s="211"/>
      <c r="AQ170" s="211"/>
      <c r="AR170"/>
      <c r="AS170" s="416"/>
      <c r="BC170" s="507"/>
      <c r="BD170" s="507"/>
    </row>
    <row r="171" spans="30:56" x14ac:dyDescent="0.25">
      <c r="AD171" s="71"/>
      <c r="AE171" s="71"/>
      <c r="AF171" s="71"/>
      <c r="AG171" s="71"/>
      <c r="AH171" s="71"/>
      <c r="AI171" s="211"/>
      <c r="AJ171" s="211"/>
      <c r="AK171" s="211"/>
      <c r="AL171" s="71"/>
      <c r="AM171" s="71"/>
      <c r="AP171" s="211"/>
      <c r="AQ171" s="211"/>
      <c r="AR171"/>
      <c r="AS171" s="416"/>
      <c r="BC171" s="507"/>
      <c r="BD171" s="507"/>
    </row>
    <row r="172" spans="30:56" x14ac:dyDescent="0.25">
      <c r="AD172" s="71"/>
      <c r="AE172" s="71"/>
      <c r="AF172" s="71"/>
      <c r="AG172" s="71"/>
      <c r="AH172" s="71"/>
      <c r="AI172" s="211"/>
      <c r="AJ172" s="211"/>
      <c r="AK172" s="211"/>
      <c r="AL172" s="71"/>
      <c r="AM172" s="71"/>
      <c r="AP172" s="211"/>
      <c r="AQ172" s="211"/>
      <c r="AR172"/>
      <c r="AS172" s="416"/>
      <c r="BC172" s="507"/>
      <c r="BD172" s="507"/>
    </row>
    <row r="173" spans="30:56" x14ac:dyDescent="0.25">
      <c r="AD173" s="71"/>
      <c r="AE173" s="71"/>
      <c r="AF173" s="71"/>
      <c r="AG173" s="71"/>
      <c r="AH173" s="71"/>
      <c r="AI173" s="211"/>
      <c r="AJ173" s="211"/>
      <c r="AK173" s="211"/>
      <c r="AL173" s="71"/>
      <c r="AM173" s="71"/>
      <c r="AP173" s="211"/>
      <c r="AQ173" s="211"/>
      <c r="AR173"/>
      <c r="AS173" s="416"/>
      <c r="BC173" s="507"/>
      <c r="BD173" s="507"/>
    </row>
    <row r="174" spans="30:56" x14ac:dyDescent="0.25">
      <c r="AD174" s="71"/>
      <c r="AE174" s="71"/>
      <c r="AF174" s="71"/>
      <c r="AG174" s="71"/>
      <c r="AH174" s="71"/>
      <c r="AI174" s="211"/>
      <c r="AJ174" s="211"/>
      <c r="AK174" s="211"/>
      <c r="AL174" s="71"/>
      <c r="AM174" s="71"/>
      <c r="AP174" s="211"/>
      <c r="AQ174" s="211"/>
      <c r="AR174"/>
      <c r="AS174" s="416"/>
      <c r="BC174" s="507"/>
      <c r="BD174" s="507"/>
    </row>
    <row r="175" spans="30:56" x14ac:dyDescent="0.25">
      <c r="AD175" s="71"/>
      <c r="AE175" s="71"/>
      <c r="AF175" s="71"/>
      <c r="AG175" s="71"/>
      <c r="AH175" s="71"/>
      <c r="AI175" s="211"/>
      <c r="AJ175" s="211"/>
      <c r="AK175" s="211"/>
      <c r="AL175" s="71"/>
      <c r="AM175" s="71"/>
      <c r="AP175" s="211"/>
      <c r="AQ175" s="211"/>
      <c r="AR175"/>
      <c r="AS175" s="416"/>
      <c r="BC175" s="507"/>
      <c r="BD175" s="507"/>
    </row>
    <row r="176" spans="30:56" x14ac:dyDescent="0.25">
      <c r="AD176" s="71"/>
      <c r="AE176" s="71"/>
      <c r="AF176" s="71"/>
      <c r="AG176" s="71"/>
      <c r="AH176" s="71"/>
      <c r="AI176" s="211"/>
      <c r="AJ176" s="211"/>
      <c r="AK176" s="211"/>
      <c r="AL176" s="71"/>
      <c r="AM176" s="71"/>
      <c r="AP176" s="211"/>
      <c r="AQ176" s="211"/>
      <c r="AR176"/>
      <c r="AS176" s="416"/>
      <c r="BC176" s="507"/>
      <c r="BD176" s="507"/>
    </row>
    <row r="177" spans="30:56" x14ac:dyDescent="0.25">
      <c r="AD177" s="71"/>
      <c r="AE177" s="71"/>
      <c r="AF177" s="71"/>
      <c r="AG177" s="71"/>
      <c r="AH177" s="71"/>
      <c r="AI177" s="211"/>
      <c r="AJ177" s="211"/>
      <c r="AK177" s="211"/>
      <c r="AL177" s="71"/>
      <c r="AM177" s="71"/>
      <c r="AP177" s="211"/>
      <c r="AQ177" s="211"/>
      <c r="AR177"/>
      <c r="AS177" s="416"/>
      <c r="BC177" s="507"/>
      <c r="BD177" s="507"/>
    </row>
    <row r="178" spans="30:56" x14ac:dyDescent="0.25">
      <c r="AD178" s="71"/>
      <c r="AE178" s="71"/>
      <c r="AF178" s="71"/>
      <c r="AG178" s="71"/>
      <c r="AH178" s="71"/>
      <c r="AI178" s="211"/>
      <c r="AJ178" s="211"/>
      <c r="AK178" s="211"/>
      <c r="AL178" s="71"/>
      <c r="AM178" s="71"/>
      <c r="AP178" s="211"/>
      <c r="AQ178" s="211"/>
      <c r="AR178"/>
      <c r="AS178" s="416"/>
      <c r="BC178" s="507"/>
      <c r="BD178" s="507"/>
    </row>
    <row r="179" spans="30:56" x14ac:dyDescent="0.25">
      <c r="AD179" s="71"/>
      <c r="AE179" s="71"/>
      <c r="AF179" s="71"/>
      <c r="AG179" s="71"/>
      <c r="AH179" s="71"/>
      <c r="AI179" s="211"/>
      <c r="AJ179" s="211"/>
      <c r="AK179" s="211"/>
      <c r="AL179" s="71"/>
      <c r="AM179" s="71"/>
      <c r="AP179" s="211"/>
      <c r="AQ179" s="211"/>
      <c r="AR179"/>
      <c r="AS179" s="416"/>
      <c r="BC179" s="507"/>
      <c r="BD179" s="507"/>
    </row>
    <row r="180" spans="30:56" x14ac:dyDescent="0.25">
      <c r="AD180" s="71"/>
      <c r="AE180" s="71"/>
      <c r="AF180" s="71"/>
      <c r="AG180" s="71"/>
      <c r="AH180" s="71"/>
      <c r="AI180" s="211"/>
      <c r="AJ180" s="211"/>
      <c r="AK180" s="211"/>
      <c r="AL180" s="71"/>
      <c r="AM180" s="71"/>
      <c r="AP180" s="211"/>
      <c r="AQ180" s="211"/>
      <c r="AR180"/>
      <c r="AS180" s="416"/>
      <c r="BC180" s="502"/>
      <c r="BD180" s="502"/>
    </row>
    <row r="181" spans="30:56" x14ac:dyDescent="0.25">
      <c r="AD181" s="71"/>
      <c r="AE181" s="71"/>
      <c r="AF181" s="71"/>
      <c r="AG181" s="71"/>
      <c r="AH181" s="71"/>
      <c r="AI181" s="211"/>
      <c r="AJ181" s="211"/>
      <c r="AK181" s="211"/>
      <c r="AL181" s="71"/>
      <c r="AM181" s="71"/>
      <c r="AP181" s="211"/>
      <c r="AQ181" s="211"/>
      <c r="AR181"/>
      <c r="AS181" s="416"/>
    </row>
    <row r="182" spans="30:56" x14ac:dyDescent="0.25">
      <c r="AD182" s="71"/>
      <c r="AE182" s="71"/>
      <c r="AF182" s="71"/>
      <c r="AG182" s="71"/>
      <c r="AH182" s="71"/>
      <c r="AI182" s="211"/>
      <c r="AJ182" s="211"/>
      <c r="AK182" s="211"/>
      <c r="AL182" s="71"/>
      <c r="AM182" s="71"/>
      <c r="AP182" s="211"/>
      <c r="AQ182" s="211"/>
      <c r="AR182"/>
      <c r="AS182" s="416"/>
    </row>
    <row r="183" spans="30:56" x14ac:dyDescent="0.25">
      <c r="AD183" s="71"/>
      <c r="AE183" s="71"/>
      <c r="AF183" s="71"/>
      <c r="AG183" s="71"/>
      <c r="AH183" s="71"/>
      <c r="AI183" s="211"/>
      <c r="AJ183" s="211"/>
      <c r="AK183" s="211"/>
      <c r="AL183" s="71"/>
      <c r="AM183" s="71"/>
      <c r="AP183" s="211"/>
      <c r="AQ183" s="211"/>
      <c r="AR183"/>
      <c r="AS183" s="416"/>
    </row>
    <row r="184" spans="30:56" x14ac:dyDescent="0.25">
      <c r="AD184" s="71"/>
      <c r="AE184" s="71"/>
      <c r="AF184" s="71"/>
      <c r="AG184" s="71"/>
      <c r="AH184" s="71"/>
      <c r="AI184" s="211"/>
      <c r="AJ184" s="211"/>
      <c r="AK184" s="211"/>
      <c r="AL184" s="71"/>
      <c r="AM184" s="71"/>
      <c r="AP184" s="211"/>
      <c r="AQ184" s="211"/>
      <c r="AR184"/>
      <c r="AS184" s="416"/>
    </row>
    <row r="185" spans="30:56" x14ac:dyDescent="0.25">
      <c r="AD185" s="71"/>
      <c r="AE185" s="71"/>
      <c r="AF185" s="71"/>
      <c r="AG185" s="71"/>
      <c r="AH185" s="71"/>
      <c r="AI185" s="211"/>
      <c r="AJ185" s="211"/>
      <c r="AK185" s="211"/>
      <c r="AL185" s="71"/>
      <c r="AM185" s="71"/>
      <c r="AP185" s="211"/>
      <c r="AQ185" s="211"/>
      <c r="AR185"/>
      <c r="AS185" s="416"/>
    </row>
    <row r="186" spans="30:56" x14ac:dyDescent="0.25">
      <c r="AD186" s="71"/>
      <c r="AE186" s="71"/>
      <c r="AF186" s="71"/>
      <c r="AG186" s="71"/>
      <c r="AH186" s="71"/>
      <c r="AI186" s="211"/>
      <c r="AJ186" s="211"/>
      <c r="AK186" s="211"/>
      <c r="AL186" s="71"/>
      <c r="AM186" s="71"/>
      <c r="AP186" s="211"/>
      <c r="AQ186" s="211"/>
      <c r="AR186"/>
      <c r="AS186" s="416"/>
    </row>
    <row r="187" spans="30:56" x14ac:dyDescent="0.25">
      <c r="AD187" s="71"/>
      <c r="AE187" s="71"/>
      <c r="AF187" s="71"/>
      <c r="AG187" s="71"/>
      <c r="AH187" s="71"/>
      <c r="AI187" s="211"/>
      <c r="AJ187" s="211"/>
      <c r="AK187" s="211"/>
      <c r="AL187" s="71"/>
      <c r="AM187" s="71"/>
      <c r="AP187" s="211"/>
      <c r="AQ187" s="211"/>
      <c r="AR187"/>
      <c r="AS187" s="416"/>
    </row>
    <row r="188" spans="30:56" x14ac:dyDescent="0.25">
      <c r="AD188" s="71"/>
      <c r="AE188" s="71"/>
      <c r="AF188" s="71"/>
      <c r="AG188" s="71"/>
      <c r="AH188" s="71"/>
      <c r="AI188" s="211"/>
      <c r="AJ188" s="211"/>
      <c r="AK188" s="211"/>
      <c r="AL188" s="71"/>
      <c r="AM188" s="71"/>
      <c r="AP188" s="211"/>
      <c r="AQ188" s="211"/>
      <c r="AR188"/>
      <c r="AS188" s="416"/>
    </row>
    <row r="189" spans="30:56" x14ac:dyDescent="0.25">
      <c r="AD189" s="71"/>
      <c r="AE189" s="71"/>
      <c r="AF189" s="71"/>
      <c r="AG189" s="71"/>
      <c r="AH189" s="71"/>
      <c r="AI189" s="211"/>
      <c r="AJ189" s="211"/>
      <c r="AK189" s="211"/>
      <c r="AL189" s="71"/>
      <c r="AM189" s="71"/>
      <c r="AP189" s="211"/>
      <c r="AQ189" s="211"/>
      <c r="AR189"/>
      <c r="AS189" s="416"/>
    </row>
    <row r="190" spans="30:56" x14ac:dyDescent="0.25">
      <c r="AD190" s="71"/>
      <c r="AE190" s="71"/>
      <c r="AF190" s="71"/>
      <c r="AG190" s="71"/>
      <c r="AH190" s="71"/>
      <c r="AI190" s="211"/>
      <c r="AJ190" s="211"/>
      <c r="AK190" s="211"/>
      <c r="AL190" s="71"/>
      <c r="AM190" s="71"/>
      <c r="AP190" s="211"/>
      <c r="AQ190" s="211"/>
      <c r="AR190"/>
      <c r="AS190" s="416"/>
    </row>
    <row r="191" spans="30:56" x14ac:dyDescent="0.25">
      <c r="AD191" s="71"/>
      <c r="AE191" s="71"/>
      <c r="AF191" s="71"/>
      <c r="AG191" s="71"/>
      <c r="AH191" s="71"/>
      <c r="AI191" s="211"/>
      <c r="AJ191" s="211"/>
      <c r="AK191" s="211"/>
      <c r="AL191" s="71"/>
      <c r="AM191" s="71"/>
      <c r="AP191" s="211"/>
      <c r="AQ191" s="211"/>
      <c r="AR191"/>
      <c r="AS191" s="416"/>
    </row>
    <row r="192" spans="30:56" x14ac:dyDescent="0.25">
      <c r="AD192" s="71"/>
      <c r="AE192" s="71"/>
      <c r="AF192" s="71"/>
      <c r="AG192" s="71"/>
      <c r="AH192" s="71"/>
      <c r="AI192" s="211"/>
      <c r="AJ192" s="211"/>
      <c r="AK192" s="211"/>
      <c r="AL192" s="71"/>
      <c r="AM192" s="71"/>
      <c r="AP192" s="211"/>
      <c r="AQ192" s="211"/>
      <c r="AR192"/>
      <c r="AS192" s="416"/>
    </row>
    <row r="193" spans="30:45" x14ac:dyDescent="0.25">
      <c r="AD193" s="71"/>
      <c r="AE193" s="71"/>
      <c r="AF193" s="71"/>
      <c r="AG193" s="71"/>
      <c r="AH193" s="71"/>
      <c r="AI193" s="211"/>
      <c r="AJ193" s="211"/>
      <c r="AK193" s="211"/>
      <c r="AL193" s="71"/>
      <c r="AM193" s="71"/>
      <c r="AP193" s="211"/>
      <c r="AQ193" s="211"/>
      <c r="AR193"/>
      <c r="AS193" s="416"/>
    </row>
    <row r="194" spans="30:45" x14ac:dyDescent="0.25">
      <c r="AD194" s="71"/>
      <c r="AE194" s="71"/>
      <c r="AF194" s="71"/>
      <c r="AG194" s="71"/>
      <c r="AH194" s="71"/>
      <c r="AI194" s="211"/>
      <c r="AJ194" s="211"/>
      <c r="AK194" s="211"/>
      <c r="AL194" s="71"/>
      <c r="AM194" s="71"/>
      <c r="AP194" s="211"/>
      <c r="AQ194" s="211"/>
      <c r="AR194"/>
      <c r="AS194" s="416"/>
    </row>
    <row r="195" spans="30:45" x14ac:dyDescent="0.25">
      <c r="AD195" s="71"/>
      <c r="AE195" s="71"/>
      <c r="AF195" s="71"/>
      <c r="AG195" s="71"/>
      <c r="AH195" s="71"/>
      <c r="AI195" s="211"/>
      <c r="AJ195" s="211"/>
      <c r="AK195" s="211"/>
      <c r="AL195" s="71"/>
      <c r="AM195" s="71"/>
      <c r="AP195" s="211"/>
      <c r="AQ195" s="211"/>
      <c r="AR195"/>
      <c r="AS195" s="416"/>
    </row>
    <row r="196" spans="30:45" x14ac:dyDescent="0.25">
      <c r="AD196" s="71"/>
      <c r="AE196" s="71"/>
      <c r="AF196" s="71"/>
      <c r="AG196" s="71"/>
      <c r="AH196" s="71"/>
      <c r="AI196" s="211"/>
      <c r="AJ196" s="211"/>
      <c r="AK196" s="211"/>
      <c r="AL196" s="71"/>
      <c r="AM196" s="71"/>
      <c r="AP196" s="211"/>
      <c r="AQ196" s="211"/>
      <c r="AR196"/>
      <c r="AS196" s="416"/>
    </row>
    <row r="197" spans="30:45" x14ac:dyDescent="0.25">
      <c r="AD197" s="71"/>
      <c r="AE197" s="71"/>
      <c r="AF197" s="71"/>
      <c r="AG197" s="71"/>
      <c r="AH197" s="71"/>
      <c r="AI197" s="211"/>
      <c r="AJ197" s="211"/>
      <c r="AK197" s="211"/>
      <c r="AL197" s="71"/>
      <c r="AM197" s="71"/>
      <c r="AP197" s="211"/>
      <c r="AQ197" s="211"/>
      <c r="AR197"/>
      <c r="AS197" s="416"/>
    </row>
    <row r="198" spans="30:45" x14ac:dyDescent="0.25">
      <c r="AD198" s="71"/>
      <c r="AE198" s="71"/>
      <c r="AF198" s="71"/>
      <c r="AG198" s="71"/>
      <c r="AH198" s="71"/>
      <c r="AI198" s="235"/>
      <c r="AJ198" s="235"/>
      <c r="AK198" s="235"/>
      <c r="AL198" s="71"/>
      <c r="AM198" s="71"/>
      <c r="AQ198" s="379"/>
      <c r="AR198" s="408"/>
      <c r="AS198" s="417"/>
    </row>
    <row r="199" spans="30:45" x14ac:dyDescent="0.25">
      <c r="AD199" s="71"/>
      <c r="AE199" s="71"/>
      <c r="AF199" s="71"/>
      <c r="AG199" s="71"/>
      <c r="AH199" s="71"/>
      <c r="AI199" s="235"/>
      <c r="AJ199" s="235"/>
      <c r="AK199" s="235"/>
      <c r="AL199" s="71"/>
      <c r="AM199" s="71"/>
    </row>
    <row r="200" spans="30:45" x14ac:dyDescent="0.25">
      <c r="AD200" s="71"/>
      <c r="AE200" s="71"/>
      <c r="AF200" s="71"/>
      <c r="AG200" s="71"/>
      <c r="AH200" s="71"/>
      <c r="AI200" s="235"/>
      <c r="AJ200" s="235"/>
      <c r="AK200" s="235"/>
      <c r="AL200" s="71"/>
      <c r="AM200" s="71"/>
    </row>
    <row r="201" spans="30:45" x14ac:dyDescent="0.25">
      <c r="AD201" s="71"/>
      <c r="AE201" s="71"/>
      <c r="AF201" s="71"/>
      <c r="AG201" s="71"/>
      <c r="AH201" s="71"/>
      <c r="AI201" s="235"/>
      <c r="AJ201" s="235"/>
      <c r="AK201" s="235"/>
      <c r="AL201" s="71"/>
      <c r="AM201" s="71"/>
    </row>
    <row r="202" spans="30:45" x14ac:dyDescent="0.25">
      <c r="AD202" s="71"/>
      <c r="AE202" s="71"/>
      <c r="AF202" s="71"/>
      <c r="AG202" s="71"/>
      <c r="AH202" s="71"/>
      <c r="AI202" s="235"/>
      <c r="AJ202" s="235"/>
      <c r="AK202" s="235"/>
      <c r="AL202" s="71"/>
      <c r="AM202" s="71"/>
    </row>
    <row r="203" spans="30:45" x14ac:dyDescent="0.25">
      <c r="AD203" s="71"/>
      <c r="AE203" s="71"/>
      <c r="AF203" s="71"/>
      <c r="AG203" s="71"/>
      <c r="AH203" s="71"/>
      <c r="AI203" s="235"/>
      <c r="AJ203" s="235"/>
      <c r="AK203" s="235"/>
      <c r="AL203" s="71"/>
      <c r="AM203" s="71"/>
    </row>
    <row r="204" spans="30:45" x14ac:dyDescent="0.25">
      <c r="AD204" s="71"/>
      <c r="AE204" s="71"/>
      <c r="AF204" s="71"/>
      <c r="AG204" s="71"/>
      <c r="AH204" s="71"/>
      <c r="AI204" s="235"/>
      <c r="AJ204" s="235"/>
      <c r="AK204" s="235"/>
      <c r="AL204" s="71"/>
      <c r="AM204" s="71"/>
    </row>
    <row r="205" spans="30:45" x14ac:dyDescent="0.25">
      <c r="AD205" s="233"/>
      <c r="AE205" s="233"/>
      <c r="AF205" s="233"/>
      <c r="AG205" s="233"/>
      <c r="AH205" s="233"/>
      <c r="AI205" s="234"/>
      <c r="AJ205" s="234"/>
      <c r="AK205" s="234"/>
      <c r="AL205" s="233"/>
      <c r="AM205" s="233"/>
    </row>
  </sheetData>
  <sheetProtection selectLockedCells="1" selectUnlockedCells="1"/>
  <autoFilter ref="A1:AQ108" xr:uid="{00000000-0009-0000-0000-000008000000}"/>
  <phoneticPr fontId="48" type="noConversion"/>
  <pageMargins left="0.70866141732283472" right="0.70866141732283472" top="0.74803149606299213" bottom="0.74803149606299213" header="0.31496062992125984" footer="0.31496062992125984"/>
  <pageSetup paperSize="9" scale="1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11</vt:i4>
      </vt:variant>
    </vt:vector>
  </HeadingPairs>
  <TitlesOfParts>
    <vt:vector size="21" baseType="lpstr">
      <vt:lpstr>központi támogatások</vt:lpstr>
      <vt:lpstr>segély K48</vt:lpstr>
      <vt:lpstr>támogatások K512</vt:lpstr>
      <vt:lpstr>beruházások</vt:lpstr>
      <vt:lpstr>BÖLCSŐDE</vt:lpstr>
      <vt:lpstr>FALUHÁZ</vt:lpstr>
      <vt:lpstr>ÓVODA</vt:lpstr>
      <vt:lpstr>PMH</vt:lpstr>
      <vt:lpstr>ÖNKORMÁNYZAT</vt:lpstr>
      <vt:lpstr>MINDÖSSZESEN</vt:lpstr>
      <vt:lpstr>'támogatások K512'!Nyomtatási_cím</vt:lpstr>
      <vt:lpstr>beruházások!Nyomtatási_terület</vt:lpstr>
      <vt:lpstr>BÖLCSŐDE!Nyomtatási_terület</vt:lpstr>
      <vt:lpstr>FALUHÁZ!Nyomtatási_terület</vt:lpstr>
      <vt:lpstr>'központi támogatások'!Nyomtatási_terület</vt:lpstr>
      <vt:lpstr>MINDÖSSZESEN!Nyomtatási_terület</vt:lpstr>
      <vt:lpstr>ÓVODA!Nyomtatási_terület</vt:lpstr>
      <vt:lpstr>ÖNKORMÁNYZAT!Nyomtatási_terület</vt:lpstr>
      <vt:lpstr>PMH!Nyomtatási_terület</vt:lpstr>
      <vt:lpstr>'segély K48'!Nyomtatási_terület</vt:lpstr>
      <vt:lpstr>'támogatások K512'!Nyomtatási_terület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Balláné Nagy Gabriella</cp:lastModifiedBy>
  <cp:lastPrinted>2026-01-20T09:56:53Z</cp:lastPrinted>
  <dcterms:created xsi:type="dcterms:W3CDTF">2018-09-18T12:27:08Z</dcterms:created>
  <dcterms:modified xsi:type="dcterms:W3CDTF">2026-01-23T11:36:17Z</dcterms:modified>
</cp:coreProperties>
</file>